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ARRETRATI SEGRETARI COMUNALI\"/>
    </mc:Choice>
  </mc:AlternateContent>
  <bookViews>
    <workbookView xWindow="0" yWindow="0" windowWidth="20490" windowHeight="7755"/>
  </bookViews>
  <sheets>
    <sheet name="Segretari fascia B" sheetId="9" r:id="rId1"/>
    <sheet name="ccnl" sheetId="1" state="hidden" r:id="rId2"/>
    <sheet name="IVC" sheetId="24" state="hidden" r:id="rId3"/>
  </sheets>
  <definedNames>
    <definedName name="_xlnm.Print_Area" localSheetId="0">'Segretari fascia B'!$A$1:$L$53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9" l="1"/>
  <c r="E6" i="9"/>
  <c r="E5" i="9"/>
  <c r="E18" i="9"/>
  <c r="E31" i="9"/>
  <c r="U44" i="9"/>
  <c r="U31" i="9"/>
  <c r="V31" i="9"/>
  <c r="V44" i="9"/>
  <c r="E45" i="9" l="1"/>
  <c r="E32" i="9"/>
  <c r="E19" i="9"/>
  <c r="D45" i="9"/>
  <c r="D32" i="9"/>
  <c r="D19" i="9"/>
  <c r="D6" i="9"/>
  <c r="U45" i="9"/>
  <c r="U32" i="9"/>
  <c r="U19" i="9"/>
  <c r="U6" i="9"/>
  <c r="T45" i="9"/>
  <c r="T32" i="9"/>
  <c r="T19" i="9"/>
  <c r="T6" i="9"/>
  <c r="S45" i="9"/>
  <c r="S32" i="9"/>
  <c r="S19" i="9"/>
  <c r="S6" i="9"/>
  <c r="R45" i="9"/>
  <c r="R32" i="9"/>
  <c r="R19" i="9"/>
  <c r="R6" i="9"/>
  <c r="Q45" i="9"/>
  <c r="Q32" i="9"/>
  <c r="Q19" i="9"/>
  <c r="Q6" i="9"/>
  <c r="P45" i="9"/>
  <c r="P32" i="9"/>
  <c r="P19" i="9"/>
  <c r="P6" i="9"/>
  <c r="O45" i="9"/>
  <c r="O32" i="9"/>
  <c r="O19" i="9"/>
  <c r="O6" i="9"/>
  <c r="E49" i="9"/>
  <c r="D49" i="9"/>
  <c r="P46" i="9"/>
  <c r="O46" i="9"/>
  <c r="D46" i="9"/>
  <c r="D44" i="9"/>
  <c r="E36" i="9"/>
  <c r="D36" i="9"/>
  <c r="P33" i="9"/>
  <c r="O33" i="9"/>
  <c r="D33" i="9"/>
  <c r="D31" i="9"/>
  <c r="E23" i="9"/>
  <c r="D23" i="9"/>
  <c r="P20" i="9"/>
  <c r="O20" i="9"/>
  <c r="D20" i="9"/>
  <c r="D18" i="9"/>
  <c r="E10" i="9"/>
  <c r="D10" i="9"/>
  <c r="P7" i="9"/>
  <c r="O7" i="9"/>
  <c r="D7" i="9"/>
  <c r="D5" i="9"/>
  <c r="J6" i="9" l="1"/>
  <c r="J7" i="9"/>
  <c r="J46" i="9"/>
  <c r="J45" i="9"/>
  <c r="J20" i="9"/>
  <c r="J19" i="9"/>
  <c r="K33" i="9"/>
  <c r="J33" i="9"/>
  <c r="J32" i="9"/>
  <c r="K32" i="9"/>
  <c r="D4" i="1"/>
  <c r="E4" i="1"/>
  <c r="F4" i="1"/>
  <c r="G4" i="1"/>
  <c r="H4" i="1"/>
  <c r="I4" i="1"/>
  <c r="V52" i="9" l="1"/>
  <c r="AD51" i="9"/>
  <c r="AC51" i="9"/>
  <c r="AB51" i="9"/>
  <c r="AA51" i="9"/>
  <c r="Z51" i="9"/>
  <c r="Y51" i="9"/>
  <c r="X51" i="9"/>
  <c r="N51" i="9"/>
  <c r="V51" i="9" s="1"/>
  <c r="N50" i="9"/>
  <c r="V50" i="9" s="1"/>
  <c r="N49" i="9"/>
  <c r="V49" i="9" s="1"/>
  <c r="W48" i="9"/>
  <c r="AC48" i="9" s="1"/>
  <c r="C48" i="9"/>
  <c r="N48" i="9" s="1"/>
  <c r="W47" i="9"/>
  <c r="AC47" i="9" s="1"/>
  <c r="N47" i="9"/>
  <c r="V46" i="9"/>
  <c r="E46" i="9"/>
  <c r="V45" i="9"/>
  <c r="AB47" i="9"/>
  <c r="AA47" i="9"/>
  <c r="E44" i="9"/>
  <c r="M42" i="9"/>
  <c r="F42" i="9"/>
  <c r="V39" i="9"/>
  <c r="AD38" i="9"/>
  <c r="AC38" i="9"/>
  <c r="AB38" i="9"/>
  <c r="AA38" i="9"/>
  <c r="Z38" i="9"/>
  <c r="Y38" i="9"/>
  <c r="X38" i="9"/>
  <c r="N38" i="9"/>
  <c r="V38" i="9" s="1"/>
  <c r="N37" i="9"/>
  <c r="V37" i="9" s="1"/>
  <c r="N36" i="9"/>
  <c r="V36" i="9" s="1"/>
  <c r="W35" i="9"/>
  <c r="Y35" i="9" s="1"/>
  <c r="C35" i="9"/>
  <c r="N35" i="9" s="1"/>
  <c r="S35" i="9" s="1"/>
  <c r="W34" i="9"/>
  <c r="AA34" i="9" s="1"/>
  <c r="V34" i="9"/>
  <c r="N34" i="9"/>
  <c r="S34" i="9" s="1"/>
  <c r="V33" i="9"/>
  <c r="V32" i="9"/>
  <c r="M29" i="9"/>
  <c r="F29" i="9"/>
  <c r="M16" i="9"/>
  <c r="M3" i="9"/>
  <c r="V26" i="9"/>
  <c r="AD25" i="9"/>
  <c r="AC25" i="9"/>
  <c r="AB25" i="9"/>
  <c r="AA25" i="9"/>
  <c r="Z25" i="9"/>
  <c r="Y25" i="9"/>
  <c r="X25" i="9"/>
  <c r="N25" i="9"/>
  <c r="V25" i="9" s="1"/>
  <c r="N24" i="9"/>
  <c r="V24" i="9" s="1"/>
  <c r="N23" i="9"/>
  <c r="V23" i="9" s="1"/>
  <c r="W22" i="9"/>
  <c r="C22" i="9"/>
  <c r="N22" i="9" s="1"/>
  <c r="W21" i="9"/>
  <c r="AC21" i="9" s="1"/>
  <c r="N21" i="9"/>
  <c r="V20" i="9"/>
  <c r="E20" i="9"/>
  <c r="V19" i="9"/>
  <c r="V18" i="9"/>
  <c r="U18" i="9"/>
  <c r="F16" i="9"/>
  <c r="AD12" i="9"/>
  <c r="AC12" i="9"/>
  <c r="AB12" i="9"/>
  <c r="AA12" i="9"/>
  <c r="Z12" i="9"/>
  <c r="Y12" i="9"/>
  <c r="X12" i="9"/>
  <c r="E7" i="9"/>
  <c r="W9" i="9"/>
  <c r="AA9" i="9" s="1"/>
  <c r="W8" i="9"/>
  <c r="AD8" i="9" s="1"/>
  <c r="N12" i="9"/>
  <c r="N8" i="9"/>
  <c r="U8" i="9" s="1"/>
  <c r="N11" i="9"/>
  <c r="N10" i="9"/>
  <c r="F3" i="9"/>
  <c r="AA8" i="9" l="1"/>
  <c r="AC8" i="9"/>
  <c r="Z9" i="9"/>
  <c r="D22" i="9"/>
  <c r="D25" i="9" s="1"/>
  <c r="K20" i="9"/>
  <c r="K19" i="9"/>
  <c r="AB9" i="9"/>
  <c r="AC9" i="9"/>
  <c r="AD9" i="9"/>
  <c r="K6" i="9"/>
  <c r="K7" i="9"/>
  <c r="K45" i="9"/>
  <c r="K46" i="9"/>
  <c r="Y8" i="9"/>
  <c r="Y47" i="9"/>
  <c r="P8" i="9"/>
  <c r="AC35" i="9"/>
  <c r="Z47" i="9"/>
  <c r="S8" i="9"/>
  <c r="T8" i="9"/>
  <c r="Q34" i="9"/>
  <c r="Z8" i="9"/>
  <c r="AD22" i="9"/>
  <c r="Z48" i="9"/>
  <c r="R10" i="9"/>
  <c r="U10" i="9"/>
  <c r="S10" i="9"/>
  <c r="T10" i="9"/>
  <c r="Q10" i="9"/>
  <c r="P10" i="9"/>
  <c r="O10" i="9"/>
  <c r="Q8" i="9"/>
  <c r="X8" i="9"/>
  <c r="Z34" i="9"/>
  <c r="U23" i="9"/>
  <c r="T23" i="9"/>
  <c r="S23" i="9"/>
  <c r="R23" i="9"/>
  <c r="Q23" i="9"/>
  <c r="P23" i="9"/>
  <c r="O23" i="9"/>
  <c r="AB34" i="9"/>
  <c r="O8" i="9"/>
  <c r="AB8" i="9"/>
  <c r="O36" i="9"/>
  <c r="U36" i="9"/>
  <c r="T36" i="9"/>
  <c r="S36" i="9"/>
  <c r="R36" i="9"/>
  <c r="Q36" i="9"/>
  <c r="P36" i="9"/>
  <c r="P49" i="9"/>
  <c r="O49" i="9"/>
  <c r="T49" i="9"/>
  <c r="U49" i="9"/>
  <c r="S49" i="9"/>
  <c r="Q49" i="9"/>
  <c r="R49" i="9"/>
  <c r="R8" i="9"/>
  <c r="P34" i="9"/>
  <c r="F31" i="9"/>
  <c r="S47" i="9"/>
  <c r="F49" i="9"/>
  <c r="G49" i="9" s="1"/>
  <c r="X9" i="9"/>
  <c r="F36" i="9"/>
  <c r="G36" i="9" s="1"/>
  <c r="Y9" i="9"/>
  <c r="D35" i="9"/>
  <c r="D38" i="9" s="1"/>
  <c r="F23" i="9"/>
  <c r="G23" i="9" s="1"/>
  <c r="X22" i="9"/>
  <c r="F45" i="9"/>
  <c r="G45" i="9" s="1"/>
  <c r="E21" i="9"/>
  <c r="T48" i="9"/>
  <c r="S48" i="9"/>
  <c r="Q48" i="9"/>
  <c r="V48" i="9"/>
  <c r="U48" i="9"/>
  <c r="R48" i="9"/>
  <c r="X48" i="9"/>
  <c r="P47" i="9"/>
  <c r="V47" i="9"/>
  <c r="O48" i="9"/>
  <c r="AA48" i="9"/>
  <c r="E47" i="9"/>
  <c r="Q47" i="9"/>
  <c r="P48" i="9"/>
  <c r="AB48" i="9"/>
  <c r="R47" i="9"/>
  <c r="X47" i="9"/>
  <c r="AD47" i="9"/>
  <c r="AD48" i="9"/>
  <c r="F46" i="9"/>
  <c r="G46" i="9" s="1"/>
  <c r="T47" i="9"/>
  <c r="D48" i="9"/>
  <c r="D51" i="9" s="1"/>
  <c r="Y48" i="9"/>
  <c r="O47" i="9"/>
  <c r="U47" i="9"/>
  <c r="E48" i="9"/>
  <c r="F32" i="9"/>
  <c r="G32" i="9" s="1"/>
  <c r="AC34" i="9"/>
  <c r="P35" i="9"/>
  <c r="V35" i="9"/>
  <c r="AB35" i="9"/>
  <c r="O34" i="9"/>
  <c r="U34" i="9"/>
  <c r="E35" i="9"/>
  <c r="T35" i="9"/>
  <c r="Z35" i="9"/>
  <c r="O35" i="9"/>
  <c r="U35" i="9"/>
  <c r="AA35" i="9"/>
  <c r="E34" i="9"/>
  <c r="R34" i="9"/>
  <c r="X34" i="9"/>
  <c r="AD34" i="9"/>
  <c r="Q35" i="9"/>
  <c r="Y34" i="9"/>
  <c r="R35" i="9"/>
  <c r="X35" i="9"/>
  <c r="AD35" i="9"/>
  <c r="F33" i="9"/>
  <c r="G33" i="9" s="1"/>
  <c r="T34" i="9"/>
  <c r="F19" i="9"/>
  <c r="G19" i="9" s="1"/>
  <c r="Q22" i="9"/>
  <c r="V22" i="9"/>
  <c r="U22" i="9"/>
  <c r="O22" i="9"/>
  <c r="T22" i="9"/>
  <c r="S22" i="9"/>
  <c r="R22" i="9"/>
  <c r="T21" i="9"/>
  <c r="Z21" i="9"/>
  <c r="O21" i="9"/>
  <c r="U21" i="9"/>
  <c r="AA21" i="9"/>
  <c r="Y22" i="9"/>
  <c r="P21" i="9"/>
  <c r="V21" i="9"/>
  <c r="AB21" i="9"/>
  <c r="E22" i="9"/>
  <c r="Z22" i="9"/>
  <c r="Q21" i="9"/>
  <c r="AA22" i="9"/>
  <c r="R21" i="9"/>
  <c r="X21" i="9"/>
  <c r="AD21" i="9"/>
  <c r="P22" i="9"/>
  <c r="AB22" i="9"/>
  <c r="F20" i="9"/>
  <c r="G20" i="9" s="1"/>
  <c r="S21" i="9"/>
  <c r="Y21" i="9"/>
  <c r="AC22" i="9"/>
  <c r="V13" i="9"/>
  <c r="V11" i="9"/>
  <c r="V10" i="9"/>
  <c r="V8" i="9"/>
  <c r="V7" i="9"/>
  <c r="V6" i="9"/>
  <c r="V5" i="9"/>
  <c r="G5" i="24"/>
  <c r="G4" i="24"/>
  <c r="G3" i="24"/>
  <c r="F3" i="24"/>
  <c r="F5" i="24"/>
  <c r="F4" i="24"/>
  <c r="V12" i="9"/>
  <c r="L33" i="9" l="1"/>
  <c r="L32" i="9"/>
  <c r="F22" i="9"/>
  <c r="G22" i="9" s="1"/>
  <c r="O25" i="9"/>
  <c r="T51" i="9"/>
  <c r="AC49" i="9" s="1"/>
  <c r="P38" i="9"/>
  <c r="Y36" i="9" s="1"/>
  <c r="P25" i="9"/>
  <c r="T38" i="9"/>
  <c r="AC36" i="9" s="1"/>
  <c r="E25" i="9"/>
  <c r="K22" i="9" s="1"/>
  <c r="R38" i="9"/>
  <c r="AA36" i="9" s="1"/>
  <c r="O51" i="9"/>
  <c r="X49" i="9" s="1"/>
  <c r="P51" i="9"/>
  <c r="S38" i="9"/>
  <c r="AB36" i="9" s="1"/>
  <c r="U38" i="9"/>
  <c r="AD36" i="9" s="1"/>
  <c r="O38" i="9"/>
  <c r="X36" i="9" s="1"/>
  <c r="T25" i="9"/>
  <c r="AC23" i="9" s="1"/>
  <c r="R51" i="9"/>
  <c r="AA49" i="9" s="1"/>
  <c r="Q38" i="9"/>
  <c r="Z36" i="9" s="1"/>
  <c r="Q25" i="9"/>
  <c r="Z23" i="9" s="1"/>
  <c r="U25" i="9"/>
  <c r="AD23" i="9" s="1"/>
  <c r="U51" i="9"/>
  <c r="AD49" i="9" s="1"/>
  <c r="Q51" i="9"/>
  <c r="Z49" i="9" s="1"/>
  <c r="S51" i="9"/>
  <c r="AB49" i="9" s="1"/>
  <c r="S25" i="9"/>
  <c r="AB23" i="9" s="1"/>
  <c r="R25" i="9"/>
  <c r="AA23" i="9" s="1"/>
  <c r="E38" i="9"/>
  <c r="F38" i="9" s="1"/>
  <c r="G38" i="9" s="1"/>
  <c r="E51" i="9"/>
  <c r="F51" i="9" s="1"/>
  <c r="G51" i="9" s="1"/>
  <c r="Y49" i="9"/>
  <c r="F48" i="9"/>
  <c r="G48" i="9" s="1"/>
  <c r="F35" i="9"/>
  <c r="G35" i="9" s="1"/>
  <c r="X23" i="9"/>
  <c r="Y23" i="9"/>
  <c r="K23" i="9" l="1"/>
  <c r="K48" i="9"/>
  <c r="K35" i="9"/>
  <c r="F25" i="9"/>
  <c r="G25" i="9" s="1"/>
  <c r="K36" i="9" l="1"/>
  <c r="K49" i="9"/>
  <c r="E50" i="9" s="1"/>
  <c r="Z50" i="9"/>
  <c r="Q50" i="9" s="1"/>
  <c r="Q52" i="9" s="1"/>
  <c r="Y50" i="9"/>
  <c r="P50" i="9" s="1"/>
  <c r="P52" i="9" s="1"/>
  <c r="AD50" i="9"/>
  <c r="U50" i="9" s="1"/>
  <c r="U52" i="9" s="1"/>
  <c r="X50" i="9"/>
  <c r="O50" i="9" s="1"/>
  <c r="O52" i="9" s="1"/>
  <c r="AC50" i="9"/>
  <c r="T50" i="9" s="1"/>
  <c r="T52" i="9" s="1"/>
  <c r="AB50" i="9"/>
  <c r="S50" i="9" s="1"/>
  <c r="S52" i="9" s="1"/>
  <c r="AA50" i="9"/>
  <c r="R50" i="9" s="1"/>
  <c r="R52" i="9" s="1"/>
  <c r="H9" i="24"/>
  <c r="H10" i="24"/>
  <c r="H8" i="24"/>
  <c r="G10" i="24"/>
  <c r="G9" i="24"/>
  <c r="G8" i="24"/>
  <c r="F8" i="24"/>
  <c r="F10" i="24"/>
  <c r="F9" i="24"/>
  <c r="E10" i="24"/>
  <c r="E9" i="24"/>
  <c r="E8" i="24"/>
  <c r="D10" i="24"/>
  <c r="D9" i="24"/>
  <c r="D8" i="24"/>
  <c r="C10" i="24"/>
  <c r="C9" i="24"/>
  <c r="C8" i="24"/>
  <c r="B8" i="24"/>
  <c r="B10" i="24"/>
  <c r="B9" i="24"/>
  <c r="J10" i="24"/>
  <c r="J9" i="24"/>
  <c r="J8" i="24"/>
  <c r="E5" i="24"/>
  <c r="E4" i="24"/>
  <c r="E3" i="24"/>
  <c r="D5" i="24"/>
  <c r="D4" i="24"/>
  <c r="D3" i="24"/>
  <c r="C5" i="24"/>
  <c r="C4" i="24"/>
  <c r="C3" i="24"/>
  <c r="B5" i="24"/>
  <c r="B4" i="24"/>
  <c r="B3" i="24"/>
  <c r="X24" i="9" l="1"/>
  <c r="O24" i="9" s="1"/>
  <c r="E24" i="9"/>
  <c r="AD37" i="9"/>
  <c r="U37" i="9" s="1"/>
  <c r="U39" i="9" s="1"/>
  <c r="E37" i="9"/>
  <c r="E39" i="9" s="1"/>
  <c r="E52" i="9"/>
  <c r="AA37" i="9"/>
  <c r="R37" i="9" s="1"/>
  <c r="R39" i="9" s="1"/>
  <c r="Y37" i="9"/>
  <c r="P37" i="9" s="1"/>
  <c r="P39" i="9" s="1"/>
  <c r="Z37" i="9"/>
  <c r="Q37" i="9" s="1"/>
  <c r="Q39" i="9" s="1"/>
  <c r="AB37" i="9"/>
  <c r="S37" i="9" s="1"/>
  <c r="S39" i="9" s="1"/>
  <c r="AC37" i="9"/>
  <c r="T37" i="9" s="1"/>
  <c r="T39" i="9" s="1"/>
  <c r="X37" i="9"/>
  <c r="O37" i="9" s="1"/>
  <c r="O39" i="9" s="1"/>
  <c r="AA24" i="9"/>
  <c r="R24" i="9" s="1"/>
  <c r="R26" i="9" s="1"/>
  <c r="Z24" i="9"/>
  <c r="Q24" i="9" s="1"/>
  <c r="Q26" i="9" s="1"/>
  <c r="Y24" i="9"/>
  <c r="P24" i="9" s="1"/>
  <c r="P26" i="9" s="1"/>
  <c r="AD24" i="9"/>
  <c r="U24" i="9" s="1"/>
  <c r="U26" i="9" s="1"/>
  <c r="O26" i="9"/>
  <c r="AC24" i="9"/>
  <c r="T24" i="9" s="1"/>
  <c r="T26" i="9" s="1"/>
  <c r="AB24" i="9"/>
  <c r="S24" i="9" s="1"/>
  <c r="S26" i="9" s="1"/>
  <c r="I8" i="1"/>
  <c r="H8" i="1"/>
  <c r="G8" i="1"/>
  <c r="F8" i="1"/>
  <c r="E8" i="1"/>
  <c r="D8" i="1"/>
  <c r="E26" i="9" l="1"/>
  <c r="C9" i="9" l="1"/>
  <c r="N9" i="9" s="1"/>
  <c r="S9" i="9" l="1"/>
  <c r="S12" i="9" s="1"/>
  <c r="P9" i="9"/>
  <c r="P12" i="9" s="1"/>
  <c r="U9" i="9"/>
  <c r="U12" i="9" s="1"/>
  <c r="R9" i="9"/>
  <c r="R12" i="9" s="1"/>
  <c r="Q9" i="9"/>
  <c r="Q12" i="9" s="1"/>
  <c r="T9" i="9"/>
  <c r="T12" i="9" s="1"/>
  <c r="O9" i="9"/>
  <c r="O12" i="9" s="1"/>
  <c r="V9" i="9"/>
  <c r="D9" i="9"/>
  <c r="D12" i="9" s="1"/>
  <c r="E9" i="9"/>
  <c r="AC10" i="9" l="1"/>
  <c r="AD10" i="9"/>
  <c r="F6" i="9" l="1"/>
  <c r="G6" i="9" s="1"/>
  <c r="E8" i="9" l="1"/>
  <c r="X10" i="9"/>
  <c r="Z10" i="9"/>
  <c r="AB10" i="9"/>
  <c r="AA10" i="9"/>
  <c r="Y10" i="9"/>
  <c r="F7" i="9"/>
  <c r="G7" i="9" s="1"/>
  <c r="I3" i="1"/>
  <c r="H3" i="1"/>
  <c r="G3" i="1"/>
  <c r="F3" i="1"/>
  <c r="E3" i="1"/>
  <c r="D3" i="1"/>
  <c r="E12" i="9" l="1"/>
  <c r="G6" i="1"/>
  <c r="G7" i="1" s="1"/>
  <c r="G9" i="1" s="1"/>
  <c r="H6" i="1"/>
  <c r="H7" i="1" s="1"/>
  <c r="H10" i="1" s="1"/>
  <c r="E6" i="1"/>
  <c r="E7" i="1" s="1"/>
  <c r="E10" i="1" s="1"/>
  <c r="I6" i="1"/>
  <c r="I7" i="1" s="1"/>
  <c r="I10" i="1" s="1"/>
  <c r="D6" i="1"/>
  <c r="D7" i="1" s="1"/>
  <c r="D10" i="1" s="1"/>
  <c r="F6" i="1"/>
  <c r="F7" i="1" s="1"/>
  <c r="F10" i="1" s="1"/>
  <c r="F9" i="9"/>
  <c r="G9" i="9" s="1"/>
  <c r="F10" i="9"/>
  <c r="G10" i="9" s="1"/>
  <c r="G15" i="1"/>
  <c r="F14" i="1"/>
  <c r="D15" i="1"/>
  <c r="H15" i="1"/>
  <c r="G14" i="1"/>
  <c r="E15" i="1"/>
  <c r="I15" i="1"/>
  <c r="D14" i="1"/>
  <c r="H14" i="1"/>
  <c r="F15" i="1"/>
  <c r="E14" i="1"/>
  <c r="I14" i="1"/>
  <c r="K9" i="9" l="1"/>
  <c r="I11" i="1"/>
  <c r="E9" i="1"/>
  <c r="E17" i="1" s="1"/>
  <c r="F9" i="1"/>
  <c r="F17" i="1" s="1"/>
  <c r="G17" i="1"/>
  <c r="D9" i="1"/>
  <c r="D12" i="1" s="1"/>
  <c r="H9" i="1"/>
  <c r="H17" i="1" s="1"/>
  <c r="D8" i="9"/>
  <c r="J9" i="9" s="1"/>
  <c r="J10" i="9" s="1"/>
  <c r="F5" i="9"/>
  <c r="H11" i="1"/>
  <c r="D34" i="9"/>
  <c r="J35" i="9" s="1"/>
  <c r="I9" i="1"/>
  <c r="D47" i="9"/>
  <c r="J48" i="9" s="1"/>
  <c r="F44" i="9"/>
  <c r="D21" i="9"/>
  <c r="J22" i="9" s="1"/>
  <c r="F18" i="9"/>
  <c r="G10" i="1"/>
  <c r="G11" i="1"/>
  <c r="F12" i="9"/>
  <c r="G12" i="9" s="1"/>
  <c r="J49" i="9" l="1"/>
  <c r="L48" i="9"/>
  <c r="J36" i="9"/>
  <c r="L35" i="9"/>
  <c r="L9" i="9"/>
  <c r="K10" i="9"/>
  <c r="J23" i="9"/>
  <c r="L22" i="9"/>
  <c r="L46" i="9"/>
  <c r="L45" i="9"/>
  <c r="L6" i="9"/>
  <c r="L7" i="9"/>
  <c r="L19" i="9"/>
  <c r="L20" i="9"/>
  <c r="F47" i="9"/>
  <c r="G47" i="9" s="1"/>
  <c r="F8" i="9"/>
  <c r="G8" i="9" s="1"/>
  <c r="E12" i="1"/>
  <c r="F12" i="1"/>
  <c r="I12" i="1"/>
  <c r="G12" i="1"/>
  <c r="I17" i="1"/>
  <c r="H12" i="1"/>
  <c r="G18" i="9"/>
  <c r="F21" i="9"/>
  <c r="G21" i="9" s="1"/>
  <c r="G44" i="9"/>
  <c r="F34" i="9"/>
  <c r="G34" i="9" s="1"/>
  <c r="G31" i="9"/>
  <c r="D17" i="1"/>
  <c r="G5" i="9"/>
  <c r="E11" i="9" l="1"/>
  <c r="AD11" i="9"/>
  <c r="U11" i="9" s="1"/>
  <c r="U13" i="9" s="1"/>
  <c r="X11" i="9"/>
  <c r="O11" i="9" s="1"/>
  <c r="AC11" i="9"/>
  <c r="T11" i="9" s="1"/>
  <c r="T13" i="9" s="1"/>
  <c r="AB11" i="9"/>
  <c r="S11" i="9" s="1"/>
  <c r="S13" i="9" s="1"/>
  <c r="AA11" i="9"/>
  <c r="R11" i="9" s="1"/>
  <c r="R13" i="9" s="1"/>
  <c r="Y11" i="9"/>
  <c r="P11" i="9" s="1"/>
  <c r="Z11" i="9"/>
  <c r="Q11" i="9" s="1"/>
  <c r="Q13" i="9" s="1"/>
  <c r="D11" i="9"/>
  <c r="D50" i="9"/>
  <c r="D37" i="9"/>
  <c r="D24" i="9"/>
  <c r="O13" i="9"/>
  <c r="P13" i="9"/>
  <c r="E13" i="9"/>
  <c r="D13" i="9" l="1"/>
  <c r="F11" i="9"/>
  <c r="D52" i="9"/>
  <c r="F50" i="9"/>
  <c r="D39" i="9"/>
  <c r="F37" i="9"/>
  <c r="D26" i="9"/>
  <c r="F24" i="9"/>
  <c r="G11" i="9" l="1"/>
  <c r="G13" i="9" s="1"/>
  <c r="F13" i="9"/>
  <c r="G24" i="9"/>
  <c r="G26" i="9" s="1"/>
  <c r="F26" i="9"/>
  <c r="G37" i="9"/>
  <c r="G39" i="9" s="1"/>
  <c r="F39" i="9"/>
  <c r="G50" i="9"/>
  <c r="G52" i="9" s="1"/>
  <c r="F52" i="9"/>
</calcChain>
</file>

<file path=xl/sharedStrings.xml><?xml version="1.0" encoding="utf-8"?>
<sst xmlns="http://schemas.openxmlformats.org/spreadsheetml/2006/main" count="183" uniqueCount="56">
  <si>
    <t>Voce</t>
  </si>
  <si>
    <t>Fascia C
fino a 3.000 ab.</t>
  </si>
  <si>
    <t>Fascia B*
da 10.001 a 65.000 ab.</t>
  </si>
  <si>
    <t>Fascia A
da 65.001 a 250.000 ab.</t>
  </si>
  <si>
    <t>Fascia A*
oltre 250.000 ab.
Com.capoluogo
Province</t>
  </si>
  <si>
    <t>Fascia A*
Enti metrop.</t>
  </si>
  <si>
    <t>Indennità di vacanza contrattuale</t>
  </si>
  <si>
    <t>Retribuzione di Posizione</t>
  </si>
  <si>
    <t>Convenzione di segreteria</t>
  </si>
  <si>
    <t>Maggiorazione posizione</t>
  </si>
  <si>
    <t>Retribuzione di risultato</t>
  </si>
  <si>
    <t>Galleggiamento fino a euro</t>
  </si>
  <si>
    <t>Indennità direttore generale</t>
  </si>
  <si>
    <t>Totale</t>
  </si>
  <si>
    <t>Scavalco</t>
  </si>
  <si>
    <t>Indennità per scavalco 
fino a 60 gg.</t>
  </si>
  <si>
    <t>Indennità per scavalco 
oltre 60 gg.</t>
  </si>
  <si>
    <t>Limite annuo diritti di segreteria</t>
  </si>
  <si>
    <t>Limite 1/5</t>
  </si>
  <si>
    <t>Indennità di risultato percepita nell'anno</t>
  </si>
  <si>
    <t>SI</t>
  </si>
  <si>
    <t>Stipendio Tabellare +
Indennità Integr.Speciale
(comprensivo 13° mens.)</t>
  </si>
  <si>
    <t>IMPORTO ARRETRATI</t>
  </si>
  <si>
    <t>a</t>
  </si>
  <si>
    <t>da €</t>
  </si>
  <si>
    <t>a €</t>
  </si>
  <si>
    <t>diff. €</t>
  </si>
  <si>
    <t>Maggiorazione posizione a41 c4</t>
  </si>
  <si>
    <t>Retrib.posizione convenz.a45</t>
  </si>
  <si>
    <t>Retr.posiz.CCNL 2001</t>
  </si>
  <si>
    <t>Fascia B
da 3.001 a 10.000 ab.</t>
  </si>
  <si>
    <t>Indennità di segreteria percepiti nell'anno</t>
  </si>
  <si>
    <t>C</t>
  </si>
  <si>
    <t>B</t>
  </si>
  <si>
    <t>A</t>
  </si>
  <si>
    <t>Seg.Com. Fascia</t>
  </si>
  <si>
    <t>Retribuzione di risultato nei limiti della capacità di spesa dell'anno</t>
  </si>
  <si>
    <t>IVC mensile (in euro) dal 1°
aprile al 30 giugno 2019 –
0,42% stipendi tabellari</t>
  </si>
  <si>
    <t>IVC mensile (in euro) dal 1°
luglio 2019 –
0,70% stipendi tabellari</t>
  </si>
  <si>
    <t>Regioni ed autonomie locali - IVC 2010 - valori
mensili - TIP 1,5%</t>
  </si>
  <si>
    <t>2018</t>
  </si>
  <si>
    <t>2019</t>
  </si>
  <si>
    <t>1° sem 2020</t>
  </si>
  <si>
    <t>2021</t>
  </si>
  <si>
    <t>2° sem 2020</t>
  </si>
  <si>
    <t>GIORNI</t>
  </si>
  <si>
    <t>differenza</t>
  </si>
  <si>
    <t>PERIODO:</t>
  </si>
  <si>
    <t>Da</t>
  </si>
  <si>
    <t>ccnl precedente</t>
  </si>
  <si>
    <t>ccnl 16-18</t>
  </si>
  <si>
    <t>VC</t>
  </si>
  <si>
    <t>Limite  diritti (annuo)</t>
  </si>
  <si>
    <t>NO</t>
  </si>
  <si>
    <t>2017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</si>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</sst>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&quot; &quot;#,##0.00&quot; &quot;;&quot;-&quot;#,##0.00&quot; &quot;;&quot; -&quot;#&quot; &quot;;&quot; &quot;@&quot; &quot;"/>
    <numFmt numFmtId="166" formatCode="[$-410]General"/>
    <numFmt numFmtId="167" formatCode="_-* #,##0.00\ [$€-410]_-;\-* #,##0.00\ [$€-410]_-;_-* &quot;-&quot;??\ [$€-410]_-;_-@_-"/>
    <numFmt numFmtId="168" formatCode="_-* #,##0_-;\-* #,##0_-;_-* &quot;-&quot;??_-;_-@_-"/>
    <numFmt numFmtId="169" formatCode="#,##0_ ;\-#,##0\ "/>
    <numFmt numFmtId="170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4C4A4A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  <scheme val="minor"/>
    </font>
    <font>
      <i/>
      <sz val="10"/>
      <color rgb="FF4C4A4A"/>
      <name val="Tahoma"/>
      <family val="2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name val="Calibri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Tahoma"/>
      <family val="2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/>
    <xf numFmtId="166" fontId="6" fillId="0" borderId="0"/>
  </cellStyleXfs>
  <cellXfs count="170">
    <xf numFmtId="0" fontId="0" fillId="0" borderId="0" xfId="0"/>
    <xf numFmtId="165" fontId="7" fillId="0" borderId="13" xfId="3" applyFont="1" applyFill="1" applyBorder="1" applyAlignment="1" applyProtection="1">
      <alignment vertical="center"/>
    </xf>
    <xf numFmtId="165" fontId="7" fillId="0" borderId="14" xfId="3" applyFont="1" applyFill="1" applyBorder="1" applyAlignment="1" applyProtection="1">
      <alignment vertical="center"/>
    </xf>
    <xf numFmtId="165" fontId="7" fillId="0" borderId="15" xfId="3" applyFont="1" applyFill="1" applyBorder="1" applyAlignment="1" applyProtection="1">
      <alignment vertical="center"/>
    </xf>
    <xf numFmtId="165" fontId="7" fillId="0" borderId="30" xfId="3" applyFont="1" applyFill="1" applyBorder="1" applyAlignment="1" applyProtection="1">
      <alignment vertical="center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164" fontId="19" fillId="0" borderId="15" xfId="1" applyFont="1" applyFill="1" applyBorder="1" applyAlignment="1">
      <alignment vertical="center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9" fontId="15" fillId="2" borderId="15" xfId="2" applyFont="1" applyFill="1" applyBorder="1" applyAlignment="1" applyProtection="1">
      <alignment horizontal="center" vertical="center"/>
      <protection locked="0"/>
    </xf>
    <xf numFmtId="168" fontId="15" fillId="2" borderId="15" xfId="1" applyNumberFormat="1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7" fontId="19" fillId="0" borderId="0" xfId="1" applyNumberFormat="1" applyFont="1" applyFill="1" applyBorder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5" fillId="0" borderId="0" xfId="0" applyFont="1" applyFill="1" applyBorder="1"/>
    <xf numFmtId="0" fontId="19" fillId="0" borderId="0" xfId="0" applyFont="1" applyFill="1" applyBorder="1" applyAlignment="1">
      <alignment horizontal="center"/>
    </xf>
    <xf numFmtId="164" fontId="19" fillId="0" borderId="0" xfId="1" applyFont="1" applyFill="1" applyBorder="1"/>
    <xf numFmtId="164" fontId="18" fillId="0" borderId="15" xfId="1" applyFont="1" applyFill="1" applyBorder="1" applyAlignment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169" fontId="19" fillId="0" borderId="15" xfId="1" applyNumberFormat="1" applyFont="1" applyFill="1" applyBorder="1" applyAlignment="1">
      <alignment horizontal="center" vertical="center"/>
    </xf>
    <xf numFmtId="9" fontId="13" fillId="0" borderId="15" xfId="2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>
      <alignment wrapText="1"/>
    </xf>
    <xf numFmtId="167" fontId="18" fillId="0" borderId="15" xfId="1" applyNumberFormat="1" applyFont="1" applyFill="1" applyBorder="1" applyAlignment="1">
      <alignment vertical="center"/>
    </xf>
    <xf numFmtId="9" fontId="19" fillId="2" borderId="15" xfId="2" applyFont="1" applyFill="1" applyBorder="1" applyAlignment="1" applyProtection="1">
      <alignment horizontal="center"/>
      <protection locked="0"/>
    </xf>
    <xf numFmtId="0" fontId="19" fillId="0" borderId="1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49" fontId="18" fillId="0" borderId="0" xfId="1" quotePrefix="1" applyNumberFormat="1" applyFont="1" applyFill="1" applyBorder="1" applyAlignment="1">
      <alignment horizontal="center" vertical="center" wrapText="1"/>
    </xf>
    <xf numFmtId="170" fontId="19" fillId="0" borderId="15" xfId="1" applyNumberFormat="1" applyFont="1" applyFill="1" applyBorder="1" applyAlignment="1">
      <alignment vertical="center"/>
    </xf>
    <xf numFmtId="170" fontId="21" fillId="0" borderId="15" xfId="3" applyNumberFormat="1" applyFont="1" applyFill="1" applyBorder="1" applyAlignment="1" applyProtection="1">
      <alignment vertical="center"/>
    </xf>
    <xf numFmtId="170" fontId="18" fillId="0" borderId="15" xfId="1" applyNumberFormat="1" applyFont="1" applyFill="1" applyBorder="1" applyAlignment="1">
      <alignment vertical="center"/>
    </xf>
    <xf numFmtId="14" fontId="15" fillId="0" borderId="0" xfId="0" applyNumberFormat="1" applyFont="1" applyFill="1" applyBorder="1"/>
    <xf numFmtId="14" fontId="15" fillId="2" borderId="15" xfId="0" applyNumberFormat="1" applyFont="1" applyFill="1" applyBorder="1" applyAlignment="1">
      <alignment vertical="center"/>
    </xf>
    <xf numFmtId="170" fontId="18" fillId="0" borderId="30" xfId="1" applyNumberFormat="1" applyFont="1" applyFill="1" applyBorder="1" applyAlignment="1">
      <alignment vertical="center"/>
    </xf>
    <xf numFmtId="167" fontId="18" fillId="0" borderId="17" xfId="1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center" vertical="center"/>
    </xf>
    <xf numFmtId="49" fontId="19" fillId="0" borderId="0" xfId="0" applyNumberFormat="1" applyFont="1" applyFill="1" applyBorder="1"/>
    <xf numFmtId="49" fontId="19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/>
    <xf numFmtId="0" fontId="19" fillId="0" borderId="0" xfId="0" applyNumberFormat="1" applyFont="1" applyFill="1" applyBorder="1"/>
    <xf numFmtId="167" fontId="19" fillId="0" borderId="15" xfId="1" applyNumberFormat="1" applyFont="1" applyFill="1" applyBorder="1" applyAlignment="1">
      <alignment vertical="center"/>
    </xf>
    <xf numFmtId="0" fontId="18" fillId="0" borderId="0" xfId="1" quotePrefix="1" applyNumberFormat="1" applyFont="1" applyFill="1" applyBorder="1" applyAlignment="1">
      <alignment horizontal="center" vertical="center" wrapText="1"/>
    </xf>
    <xf numFmtId="14" fontId="27" fillId="3" borderId="0" xfId="1" applyNumberFormat="1" applyFont="1" applyFill="1" applyBorder="1" applyAlignment="1">
      <alignment horizontal="center" vertical="center" wrapText="1"/>
    </xf>
    <xf numFmtId="14" fontId="27" fillId="3" borderId="0" xfId="0" applyNumberFormat="1" applyFont="1" applyFill="1" applyBorder="1" applyAlignment="1">
      <alignment horizontal="center" vertical="center" wrapText="1"/>
    </xf>
    <xf numFmtId="49" fontId="18" fillId="3" borderId="0" xfId="1" quotePrefix="1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17" fillId="3" borderId="0" xfId="1" applyNumberFormat="1" applyFont="1" applyFill="1" applyBorder="1" applyAlignment="1">
      <alignment horizontal="center" vertical="center" wrapText="1"/>
    </xf>
    <xf numFmtId="167" fontId="17" fillId="3" borderId="0" xfId="1" applyNumberFormat="1" applyFont="1" applyFill="1" applyBorder="1" applyAlignment="1">
      <alignment horizontal="center" vertical="center" wrapText="1"/>
    </xf>
    <xf numFmtId="164" fontId="18" fillId="3" borderId="0" xfId="1" quotePrefix="1" applyFont="1" applyFill="1" applyBorder="1" applyAlignment="1">
      <alignment horizontal="center" vertical="center" wrapText="1"/>
    </xf>
    <xf numFmtId="164" fontId="18" fillId="3" borderId="0" xfId="1" applyFont="1" applyFill="1" applyBorder="1" applyAlignment="1">
      <alignment horizontal="center" vertical="center" wrapText="1"/>
    </xf>
    <xf numFmtId="167" fontId="19" fillId="3" borderId="0" xfId="1" applyNumberFormat="1" applyFont="1" applyFill="1" applyBorder="1"/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164" fontId="19" fillId="3" borderId="0" xfId="1" applyFont="1" applyFill="1" applyBorder="1" applyAlignment="1">
      <alignment vertical="center"/>
    </xf>
    <xf numFmtId="0" fontId="19" fillId="3" borderId="0" xfId="0" applyFont="1" applyFill="1" applyBorder="1"/>
    <xf numFmtId="165" fontId="21" fillId="3" borderId="0" xfId="3" applyFont="1" applyFill="1" applyBorder="1" applyAlignment="1" applyProtection="1">
      <alignment vertical="center"/>
    </xf>
    <xf numFmtId="164" fontId="21" fillId="3" borderId="0" xfId="1" applyFont="1" applyFill="1" applyBorder="1" applyAlignment="1" applyProtection="1">
      <alignment vertical="center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9" fontId="19" fillId="3" borderId="0" xfId="2" applyFont="1" applyFill="1" applyBorder="1" applyAlignment="1" applyProtection="1">
      <alignment horizontal="center"/>
      <protection locked="0"/>
    </xf>
    <xf numFmtId="9" fontId="19" fillId="3" borderId="0" xfId="2" applyFont="1" applyFill="1" applyBorder="1" applyAlignment="1" applyProtection="1">
      <alignment horizontal="center" vertical="center"/>
      <protection locked="0"/>
    </xf>
    <xf numFmtId="164" fontId="19" fillId="3" borderId="15" xfId="1" applyFont="1" applyFill="1" applyBorder="1" applyAlignment="1">
      <alignment vertical="center"/>
    </xf>
    <xf numFmtId="167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 applyProtection="1">
      <alignment horizontal="center" vertical="center" wrapText="1"/>
      <protection locked="0"/>
    </xf>
    <xf numFmtId="164" fontId="25" fillId="3" borderId="0" xfId="1" applyFont="1" applyFill="1" applyBorder="1" applyAlignment="1" applyProtection="1">
      <alignment vertical="center"/>
      <protection locked="0"/>
    </xf>
    <xf numFmtId="167" fontId="18" fillId="3" borderId="0" xfId="1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164" fontId="16" fillId="3" borderId="0" xfId="1" applyFont="1" applyFill="1" applyBorder="1" applyAlignment="1">
      <alignment vertical="center"/>
    </xf>
    <xf numFmtId="0" fontId="15" fillId="3" borderId="0" xfId="0" applyFont="1" applyFill="1" applyBorder="1"/>
    <xf numFmtId="0" fontId="22" fillId="3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49" fontId="2" fillId="0" borderId="3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15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164" fontId="2" fillId="0" borderId="15" xfId="1" quotePrefix="1" applyFont="1" applyFill="1" applyBorder="1" applyAlignment="1">
      <alignment horizontal="center" vertical="center" wrapText="1"/>
    </xf>
    <xf numFmtId="0" fontId="0" fillId="0" borderId="15" xfId="0" applyFill="1" applyBorder="1"/>
    <xf numFmtId="0" fontId="14" fillId="0" borderId="0" xfId="0" applyFont="1" applyFill="1" applyAlignment="1">
      <alignment horizontal="center"/>
    </xf>
    <xf numFmtId="164" fontId="4" fillId="0" borderId="15" xfId="1" applyFont="1" applyFill="1" applyBorder="1" applyAlignment="1">
      <alignment vertical="center"/>
    </xf>
    <xf numFmtId="164" fontId="2" fillId="0" borderId="0" xfId="1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vertical="top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64" fontId="4" fillId="0" borderId="6" xfId="1" applyFont="1" applyFill="1" applyBorder="1" applyAlignment="1">
      <alignment vertical="center"/>
    </xf>
    <xf numFmtId="164" fontId="4" fillId="0" borderId="7" xfId="1" applyFont="1" applyFill="1" applyBorder="1" applyAlignment="1">
      <alignment vertical="center"/>
    </xf>
    <xf numFmtId="0" fontId="4" fillId="0" borderId="9" xfId="0" applyFont="1" applyFill="1" applyBorder="1"/>
    <xf numFmtId="0" fontId="4" fillId="0" borderId="10" xfId="0" applyFont="1" applyFill="1" applyBorder="1"/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/>
    </xf>
    <xf numFmtId="0" fontId="4" fillId="0" borderId="17" xfId="0" applyFont="1" applyFill="1" applyBorder="1"/>
    <xf numFmtId="0" fontId="5" fillId="0" borderId="15" xfId="0" applyFont="1" applyFill="1" applyBorder="1" applyAlignment="1" applyProtection="1">
      <alignment horizontal="center" vertical="center"/>
      <protection locked="0"/>
    </xf>
    <xf numFmtId="164" fontId="4" fillId="0" borderId="16" xfId="1" applyFont="1" applyFill="1" applyBorder="1" applyAlignment="1">
      <alignment vertical="center"/>
    </xf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horizontal="center" vertical="center"/>
      <protection locked="0"/>
    </xf>
    <xf numFmtId="9" fontId="4" fillId="0" borderId="15" xfId="2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wrapText="1"/>
    </xf>
    <xf numFmtId="167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/>
    </xf>
    <xf numFmtId="0" fontId="4" fillId="0" borderId="39" xfId="0" applyFont="1" applyFill="1" applyBorder="1"/>
    <xf numFmtId="167" fontId="4" fillId="0" borderId="19" xfId="0" applyNumberFormat="1" applyFont="1" applyFill="1" applyBorder="1" applyAlignment="1" applyProtection="1">
      <alignment horizontal="center" vertical="center"/>
      <protection locked="0"/>
    </xf>
    <xf numFmtId="164" fontId="4" fillId="0" borderId="19" xfId="1" applyFont="1" applyFill="1" applyBorder="1" applyAlignment="1">
      <alignment vertical="center"/>
    </xf>
    <xf numFmtId="164" fontId="4" fillId="0" borderId="20" xfId="1" applyFont="1" applyFill="1" applyBorder="1" applyAlignment="1">
      <alignment vertical="center"/>
    </xf>
    <xf numFmtId="0" fontId="4" fillId="0" borderId="5" xfId="0" applyFont="1" applyFill="1" applyBorder="1" applyAlignment="1">
      <alignment wrapText="1"/>
    </xf>
    <xf numFmtId="9" fontId="4" fillId="0" borderId="6" xfId="2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wrapText="1"/>
    </xf>
    <xf numFmtId="9" fontId="4" fillId="0" borderId="10" xfId="2" applyFont="1" applyFill="1" applyBorder="1" applyAlignment="1" applyProtection="1">
      <alignment horizontal="center"/>
      <protection locked="0"/>
    </xf>
    <xf numFmtId="164" fontId="4" fillId="0" borderId="10" xfId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 wrapText="1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164" fontId="10" fillId="0" borderId="19" xfId="1" applyFont="1" applyFill="1" applyBorder="1" applyAlignment="1" applyProtection="1">
      <alignment vertical="center"/>
      <protection locked="0"/>
    </xf>
    <xf numFmtId="164" fontId="10" fillId="0" borderId="20" xfId="1" applyFont="1" applyFill="1" applyBorder="1" applyAlignment="1" applyProtection="1">
      <alignment vertical="center"/>
      <protection locked="0"/>
    </xf>
    <xf numFmtId="164" fontId="11" fillId="0" borderId="15" xfId="1" applyFont="1" applyFill="1" applyBorder="1"/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164" fontId="3" fillId="0" borderId="33" xfId="1" applyFont="1" applyFill="1" applyBorder="1" applyAlignment="1">
      <alignment horizontal="center" vertical="center" wrapText="1"/>
    </xf>
    <xf numFmtId="164" fontId="3" fillId="0" borderId="37" xfId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164" fontId="29" fillId="0" borderId="2" xfId="1" applyFont="1" applyFill="1" applyBorder="1" applyAlignment="1">
      <alignment vertical="center"/>
    </xf>
    <xf numFmtId="164" fontId="29" fillId="0" borderId="3" xfId="1" applyFont="1" applyFill="1" applyBorder="1" applyAlignment="1">
      <alignment vertical="center"/>
    </xf>
    <xf numFmtId="0" fontId="28" fillId="0" borderId="17" xfId="0" applyFont="1" applyFill="1" applyBorder="1"/>
    <xf numFmtId="0" fontId="28" fillId="0" borderId="15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15" xfId="0" applyFont="1" applyFill="1" applyBorder="1"/>
    <xf numFmtId="0" fontId="0" fillId="0" borderId="27" xfId="0" applyFont="1" applyFill="1" applyBorder="1"/>
    <xf numFmtId="0" fontId="0" fillId="0" borderId="28" xfId="0" applyFont="1" applyFill="1" applyBorder="1"/>
    <xf numFmtId="0" fontId="0" fillId="0" borderId="15" xfId="0" applyFont="1" applyFill="1" applyBorder="1" applyAlignment="1">
      <alignment horizontal="center"/>
    </xf>
    <xf numFmtId="164" fontId="1" fillId="0" borderId="15" xfId="1" applyFont="1" applyFill="1" applyBorder="1" applyAlignment="1">
      <alignment horizontal="center"/>
    </xf>
    <xf numFmtId="164" fontId="1" fillId="0" borderId="15" xfId="1" applyFont="1" applyFill="1" applyBorder="1"/>
    <xf numFmtId="164" fontId="19" fillId="2" borderId="30" xfId="1" applyFont="1" applyFill="1" applyBorder="1" applyAlignment="1" applyProtection="1">
      <alignment horizontal="center" vertical="center"/>
      <protection locked="0"/>
    </xf>
    <xf numFmtId="164" fontId="19" fillId="2" borderId="17" xfId="1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16" fillId="0" borderId="28" xfId="1" quotePrefix="1" applyNumberFormat="1" applyFont="1" applyFill="1" applyBorder="1" applyAlignment="1">
      <alignment horizontal="center" vertical="center" wrapText="1"/>
    </xf>
    <xf numFmtId="49" fontId="16" fillId="0" borderId="10" xfId="1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67" fontId="17" fillId="0" borderId="15" xfId="1" applyNumberFormat="1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0" fillId="0" borderId="2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164" fontId="2" fillId="0" borderId="35" xfId="1" quotePrefix="1" applyFont="1" applyFill="1" applyBorder="1" applyAlignment="1">
      <alignment horizontal="center" vertical="center" wrapText="1"/>
    </xf>
    <xf numFmtId="164" fontId="2" fillId="0" borderId="41" xfId="1" quotePrefix="1" applyFont="1" applyFill="1" applyBorder="1" applyAlignment="1">
      <alignment horizontal="center" vertical="center" wrapText="1"/>
    </xf>
    <xf numFmtId="164" fontId="2" fillId="0" borderId="42" xfId="1" quotePrefix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</cellXfs>
  <cellStyles count="5">
    <cellStyle name="Excel Built-in Comma" xfId="3"/>
    <cellStyle name="Excel Built-in Normal" xfId="4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52"/>
  <sheetViews>
    <sheetView tabSelected="1" topLeftCell="B1" zoomScaleNormal="100" zoomScalePageLayoutView="90" workbookViewId="0">
      <selection activeCell="G13" sqref="G13"/>
    </sheetView>
  </sheetViews>
  <sheetFormatPr defaultColWidth="9.140625" defaultRowHeight="12.75" x14ac:dyDescent="0.2"/>
  <cols>
    <col min="1" max="1" width="0" style="38" hidden="1" customWidth="1"/>
    <col min="2" max="2" width="27.140625" style="15" customWidth="1"/>
    <col min="3" max="3" width="9.85546875" style="17" customWidth="1"/>
    <col min="4" max="4" width="17.42578125" style="18" customWidth="1"/>
    <col min="5" max="5" width="15.85546875" style="18" customWidth="1"/>
    <col min="6" max="6" width="16.140625" style="18" customWidth="1"/>
    <col min="7" max="7" width="17.140625" style="13" customWidth="1"/>
    <col min="8" max="8" width="15.28515625" style="13" customWidth="1"/>
    <col min="9" max="9" width="6" style="13" customWidth="1"/>
    <col min="10" max="12" width="17.140625" style="13" customWidth="1"/>
    <col min="13" max="13" width="19.85546875" style="53" hidden="1" customWidth="1"/>
    <col min="14" max="14" width="18.42578125" style="56" hidden="1" customWidth="1"/>
    <col min="15" max="21" width="15.5703125" style="56" hidden="1" customWidth="1"/>
    <col min="22" max="22" width="11.42578125" style="56" hidden="1" customWidth="1"/>
    <col min="23" max="23" width="9.140625" style="56" hidden="1" customWidth="1"/>
    <col min="24" max="30" width="13.7109375" style="56" hidden="1" customWidth="1"/>
    <col min="31" max="16384" width="9.140625" style="15"/>
  </cols>
  <sheetData>
    <row r="1" spans="1:30" ht="27" customHeight="1" x14ac:dyDescent="0.2"/>
    <row r="2" spans="1:30" s="14" customFormat="1" ht="19.5" customHeight="1" x14ac:dyDescent="0.25">
      <c r="A2" s="39"/>
      <c r="B2" s="150" t="s">
        <v>0</v>
      </c>
      <c r="C2" s="151" t="s">
        <v>55</v>
      </c>
      <c r="D2" s="153" t="s">
        <v>47</v>
      </c>
      <c r="E2" s="33">
        <v>42370</v>
      </c>
      <c r="F2" s="33">
        <v>42735</v>
      </c>
      <c r="G2" s="155" t="s">
        <v>22</v>
      </c>
      <c r="M2" s="44">
        <v>42370</v>
      </c>
      <c r="N2" s="45">
        <v>42735</v>
      </c>
      <c r="O2" s="46" t="s">
        <v>55</v>
      </c>
      <c r="P2" s="46" t="s">
        <v>54</v>
      </c>
      <c r="Q2" s="46" t="s">
        <v>40</v>
      </c>
      <c r="R2" s="46" t="s">
        <v>41</v>
      </c>
      <c r="S2" s="46" t="s">
        <v>42</v>
      </c>
      <c r="T2" s="46" t="s">
        <v>44</v>
      </c>
      <c r="U2" s="46" t="s">
        <v>43</v>
      </c>
      <c r="V2" s="47"/>
      <c r="W2" s="48"/>
      <c r="X2" s="48"/>
      <c r="Y2" s="48"/>
      <c r="Z2" s="48"/>
      <c r="AA2" s="48"/>
      <c r="AB2" s="48"/>
      <c r="AC2" s="48"/>
      <c r="AD2" s="48"/>
    </row>
    <row r="3" spans="1:30" s="14" customFormat="1" ht="17.25" customHeight="1" x14ac:dyDescent="0.25">
      <c r="A3" s="39"/>
      <c r="B3" s="150"/>
      <c r="C3" s="152"/>
      <c r="D3" s="154"/>
      <c r="E3" s="37" t="s">
        <v>45</v>
      </c>
      <c r="F3" s="21">
        <f>+F2-E2+1</f>
        <v>366</v>
      </c>
      <c r="G3" s="155"/>
      <c r="M3" s="49">
        <f>_xlfn.DAYS(N2,M2)+1</f>
        <v>366</v>
      </c>
      <c r="N3" s="47"/>
      <c r="O3" s="46"/>
      <c r="P3" s="46"/>
      <c r="Q3" s="46"/>
      <c r="R3" s="46"/>
      <c r="S3" s="46"/>
      <c r="T3" s="46"/>
      <c r="U3" s="46"/>
      <c r="V3" s="47"/>
      <c r="W3" s="48"/>
      <c r="X3" s="48"/>
      <c r="Y3" s="48"/>
      <c r="Z3" s="48"/>
      <c r="AA3" s="48"/>
      <c r="AB3" s="48"/>
      <c r="AC3" s="48"/>
      <c r="AD3" s="48"/>
    </row>
    <row r="4" spans="1:30" s="14" customFormat="1" ht="15" customHeight="1" x14ac:dyDescent="0.25">
      <c r="A4" s="39"/>
      <c r="B4" s="150"/>
      <c r="C4" s="36"/>
      <c r="D4" s="19" t="s">
        <v>48</v>
      </c>
      <c r="E4" s="19" t="s">
        <v>23</v>
      </c>
      <c r="F4" s="19" t="s">
        <v>46</v>
      </c>
      <c r="G4" s="155"/>
      <c r="H4" s="11"/>
      <c r="I4" s="11"/>
      <c r="J4" s="19" t="s">
        <v>24</v>
      </c>
      <c r="K4" s="19" t="s">
        <v>25</v>
      </c>
      <c r="L4" s="19" t="s">
        <v>26</v>
      </c>
      <c r="M4" s="50"/>
      <c r="N4" s="47"/>
      <c r="O4" s="51"/>
      <c r="P4" s="52"/>
      <c r="Q4" s="52"/>
      <c r="R4" s="52"/>
      <c r="S4" s="52"/>
      <c r="T4" s="52"/>
      <c r="U4" s="52"/>
      <c r="V4" s="47"/>
      <c r="W4" s="48"/>
      <c r="X4" s="48"/>
      <c r="Y4" s="48"/>
      <c r="Z4" s="48"/>
      <c r="AA4" s="48"/>
      <c r="AB4" s="48"/>
      <c r="AC4" s="48"/>
      <c r="AD4" s="48"/>
    </row>
    <row r="5" spans="1:30" ht="38.25" customHeight="1" x14ac:dyDescent="0.2">
      <c r="A5" s="41">
        <v>4</v>
      </c>
      <c r="B5" s="26" t="s">
        <v>21</v>
      </c>
      <c r="C5" s="20"/>
      <c r="D5" s="29">
        <f>+ccnl!$E$3</f>
        <v>43310.897499999868</v>
      </c>
      <c r="E5" s="29">
        <f>HLOOKUP(C2,O2:T12,A5,FALSE)</f>
        <v>43582.597499999858</v>
      </c>
      <c r="F5" s="29">
        <f>+E5-D5</f>
        <v>271.69999999998981</v>
      </c>
      <c r="G5" s="42">
        <f>+F5*F3/M3</f>
        <v>271.69999999998981</v>
      </c>
      <c r="H5" s="167" t="s">
        <v>14</v>
      </c>
      <c r="I5" s="168"/>
      <c r="J5" s="168"/>
      <c r="K5" s="168"/>
      <c r="L5" s="169"/>
      <c r="N5" s="54"/>
      <c r="O5" s="55">
        <v>43582.597499999858</v>
      </c>
      <c r="P5" s="55">
        <v>44136.397499999861</v>
      </c>
      <c r="Q5" s="55">
        <v>44935.897499999861</v>
      </c>
      <c r="R5" s="55">
        <v>44935.897499999861</v>
      </c>
      <c r="S5" s="55">
        <v>44935.897499999861</v>
      </c>
      <c r="T5" s="55">
        <v>44935.897499999861</v>
      </c>
      <c r="U5" s="55">
        <v>45260.767499999994</v>
      </c>
      <c r="V5" s="54">
        <f>+N5</f>
        <v>0</v>
      </c>
    </row>
    <row r="6" spans="1:30" ht="38.25" x14ac:dyDescent="0.2">
      <c r="A6" s="41">
        <v>5</v>
      </c>
      <c r="B6" s="26" t="s">
        <v>6</v>
      </c>
      <c r="C6" s="20"/>
      <c r="D6" s="30">
        <f>HLOOKUP(C2,IVC!$A$1:$G$10,4,TRUE)</f>
        <v>262.08</v>
      </c>
      <c r="E6" s="30">
        <f>HLOOKUP(C2,IVC!$A$1:$G$10,9,TRUE)</f>
        <v>324.87</v>
      </c>
      <c r="F6" s="30">
        <f>+E6-D6</f>
        <v>62.79000000000002</v>
      </c>
      <c r="G6" s="42">
        <f>+F6*F3/M3</f>
        <v>62.79000000000002</v>
      </c>
      <c r="H6" s="23" t="s">
        <v>15</v>
      </c>
      <c r="I6" s="25">
        <v>0.15</v>
      </c>
      <c r="J6" s="6">
        <f>+((D5+D6+D7))/13*12*I6</f>
        <v>7118.3862692307521</v>
      </c>
      <c r="K6" s="6">
        <f>+(E5+E6+E7)*12/13*I6</f>
        <v>7164.7002692307497</v>
      </c>
      <c r="L6" s="6">
        <f>+(F5+F6+F7)*12/13*I6</f>
        <v>46.313999999998593</v>
      </c>
      <c r="N6" s="54"/>
      <c r="O6" s="57">
        <f>+IVC!$B$9</f>
        <v>324.87</v>
      </c>
      <c r="P6" s="57">
        <f>+IVC!$C$9</f>
        <v>324.87</v>
      </c>
      <c r="Q6" s="57">
        <f>+IVC!$D$9</f>
        <v>324.87</v>
      </c>
      <c r="R6" s="57">
        <f>+IVC!$E$9</f>
        <v>530.08000000000004</v>
      </c>
      <c r="S6" s="57">
        <f>+IVC!$F$9</f>
        <v>628.03</v>
      </c>
      <c r="T6" s="57">
        <f>+IVC!$G$9</f>
        <v>628.03</v>
      </c>
      <c r="U6" s="58">
        <f>+IVC!$H$9</f>
        <v>303.16000000000003</v>
      </c>
      <c r="V6" s="54">
        <f t="shared" ref="V6:V13" si="0">+N6</f>
        <v>0</v>
      </c>
    </row>
    <row r="7" spans="1:30" ht="38.25" x14ac:dyDescent="0.2">
      <c r="A7" s="41">
        <v>6</v>
      </c>
      <c r="B7" s="10" t="s">
        <v>7</v>
      </c>
      <c r="C7" s="5"/>
      <c r="D7" s="29">
        <f>+ccnl!$E$5</f>
        <v>7837.59</v>
      </c>
      <c r="E7" s="29">
        <f>HLOOKUP(C2,O2:T12,A7,TRUE)</f>
        <v>7837.59</v>
      </c>
      <c r="F7" s="29">
        <f t="shared" ref="F7:F10" si="1">+E7-D7</f>
        <v>0</v>
      </c>
      <c r="G7" s="42">
        <f>+F7*F3/M3</f>
        <v>0</v>
      </c>
      <c r="H7" s="23" t="s">
        <v>16</v>
      </c>
      <c r="I7" s="25">
        <v>0.25</v>
      </c>
      <c r="J7" s="6">
        <f>+((D5+D6+D7))/13*12*I7</f>
        <v>11863.977115384587</v>
      </c>
      <c r="K7" s="6">
        <f>+((E5+E6+E7))/13*12*I7</f>
        <v>11941.167115384584</v>
      </c>
      <c r="L7" s="6">
        <f>+((F5+F6+F7))/13*12*I7</f>
        <v>77.189999999997653</v>
      </c>
      <c r="N7" s="59"/>
      <c r="O7" s="55">
        <f>+ccnl!$E$5</f>
        <v>7837.59</v>
      </c>
      <c r="P7" s="55">
        <f>+ccnl!$E$5</f>
        <v>7837.59</v>
      </c>
      <c r="Q7" s="55">
        <v>7750</v>
      </c>
      <c r="R7" s="55">
        <v>7750</v>
      </c>
      <c r="S7" s="55">
        <v>7750</v>
      </c>
      <c r="T7" s="55">
        <v>7750</v>
      </c>
      <c r="U7" s="55">
        <v>7750</v>
      </c>
      <c r="V7" s="59">
        <f t="shared" si="0"/>
        <v>0</v>
      </c>
    </row>
    <row r="8" spans="1:30" x14ac:dyDescent="0.2">
      <c r="A8" s="41">
        <v>7</v>
      </c>
      <c r="B8" s="10" t="s">
        <v>8</v>
      </c>
      <c r="C8" s="7" t="s">
        <v>20</v>
      </c>
      <c r="D8" s="29">
        <f>IF(C8="SI", (D5+D6)*25%,0)</f>
        <v>10893.244374999967</v>
      </c>
      <c r="E8" s="29">
        <f>IF(C8="SI", (E5+E6)*25%,0)</f>
        <v>10976.866874999965</v>
      </c>
      <c r="F8" s="29">
        <f t="shared" si="1"/>
        <v>83.622499999997672</v>
      </c>
      <c r="G8" s="42">
        <f>+F8*F3/M3</f>
        <v>83.622499999997672</v>
      </c>
      <c r="H8" s="167" t="s">
        <v>17</v>
      </c>
      <c r="I8" s="168"/>
      <c r="J8" s="168"/>
      <c r="K8" s="168"/>
      <c r="L8" s="169"/>
      <c r="N8" s="60" t="str">
        <f>C8</f>
        <v>SI</v>
      </c>
      <c r="O8" s="55">
        <f>IF(N8="SI", (O5+O6)*25%,0)</f>
        <v>10976.866874999965</v>
      </c>
      <c r="P8" s="55">
        <f>IF(N8="SI", (P5+P6)*25%,0)</f>
        <v>11115.316874999966</v>
      </c>
      <c r="Q8" s="55">
        <f>IF(N8="SI", (Q5+Q6)*25%,0)</f>
        <v>11315.191874999966</v>
      </c>
      <c r="R8" s="55">
        <f>IF(N8="SI", (R5+R6)*25%,0)</f>
        <v>11366.494374999966</v>
      </c>
      <c r="S8" s="55">
        <f>IF(N8="SI", (S5+S6)*25%,0)</f>
        <v>11390.981874999965</v>
      </c>
      <c r="T8" s="55">
        <f>IF(N8="SI", (T5+T6)*25%,0)</f>
        <v>11390.981874999965</v>
      </c>
      <c r="U8" s="55">
        <f>IF(N8="SI", (U5+U6)*25%,0)</f>
        <v>11390.981874999999</v>
      </c>
      <c r="V8" s="60" t="str">
        <f t="shared" si="0"/>
        <v>SI</v>
      </c>
      <c r="W8" s="61">
        <f>I6</f>
        <v>0.15</v>
      </c>
      <c r="X8" s="55">
        <f>+((O5+O6+O7))/13*12*W8</f>
        <v>7164.7002692307497</v>
      </c>
      <c r="Y8" s="55">
        <f>+((P5+P6+P7))/13*12*W8</f>
        <v>7241.3802692307509</v>
      </c>
      <c r="Z8" s="55">
        <f>+((Q5+Q6+Q7))/13*12*W8</f>
        <v>7339.952423076903</v>
      </c>
      <c r="AA8" s="55">
        <f>+((R5+R6+R7))/13*12*W8</f>
        <v>7368.366115384596</v>
      </c>
      <c r="AB8" s="55">
        <f>+((S5+S6+S7))/13*12*W8</f>
        <v>7381.9284230769026</v>
      </c>
      <c r="AC8" s="55">
        <f>+((T5+T6+T7))/13*12*W8</f>
        <v>7381.9284230769026</v>
      </c>
      <c r="AD8" s="55">
        <f>+((U5+U6+U7))/13*12*W8</f>
        <v>7381.9284230769226</v>
      </c>
    </row>
    <row r="9" spans="1:30" x14ac:dyDescent="0.2">
      <c r="A9" s="41">
        <v>8</v>
      </c>
      <c r="B9" s="10" t="s">
        <v>28</v>
      </c>
      <c r="C9" s="22">
        <f>IF(C8="SI",25%,0)</f>
        <v>0.25</v>
      </c>
      <c r="D9" s="29">
        <f>+D7*C9</f>
        <v>1959.3975</v>
      </c>
      <c r="E9" s="29">
        <f>+E7*C9</f>
        <v>1959.3975</v>
      </c>
      <c r="F9" s="29">
        <f t="shared" si="1"/>
        <v>0</v>
      </c>
      <c r="G9" s="42">
        <f>+F9*F3/M3</f>
        <v>0</v>
      </c>
      <c r="H9" s="10" t="s">
        <v>18</v>
      </c>
      <c r="I9" s="20"/>
      <c r="J9" s="6">
        <f>+((D5*12/13)+D6+D7+D8+D9+D10+D12+J12)/5</f>
        <v>14625.322874999969</v>
      </c>
      <c r="K9" s="6">
        <f>+((E5*12/13)+E6+E7+E8+E9+E10+E12+J12)/5</f>
        <v>14704.765374999968</v>
      </c>
      <c r="L9" s="6">
        <f>+K9-J9</f>
        <v>79.4424999999992</v>
      </c>
      <c r="N9" s="62">
        <f>C9</f>
        <v>0.25</v>
      </c>
      <c r="O9" s="55">
        <f>+O7*N9</f>
        <v>1959.3975</v>
      </c>
      <c r="P9" s="55">
        <f>+P7*N9</f>
        <v>1959.3975</v>
      </c>
      <c r="Q9" s="55">
        <f>+Q7*N9</f>
        <v>1937.5</v>
      </c>
      <c r="R9" s="55">
        <f>+R7*N9</f>
        <v>1937.5</v>
      </c>
      <c r="S9" s="55">
        <f>+S7*N9</f>
        <v>1937.5</v>
      </c>
      <c r="T9" s="55">
        <f>+T7*N9</f>
        <v>1937.5</v>
      </c>
      <c r="U9" s="55">
        <f>+U7*N9</f>
        <v>1937.5</v>
      </c>
      <c r="V9" s="62">
        <f t="shared" si="0"/>
        <v>0.25</v>
      </c>
      <c r="W9" s="61">
        <f>I7</f>
        <v>0.25</v>
      </c>
      <c r="X9" s="63">
        <f>+((O5+O6+O7))/13*12*W9</f>
        <v>11941.167115384584</v>
      </c>
      <c r="Y9" s="55">
        <f>+((P5+P6+P7))/13*12*W9</f>
        <v>12068.967115384585</v>
      </c>
      <c r="Z9" s="55">
        <f>+((Q5+Q6+Q7))/13*12*W9</f>
        <v>12233.254038461506</v>
      </c>
      <c r="AA9" s="55">
        <f>+((R5+R6+R7))/13*12*W9</f>
        <v>12280.61019230766</v>
      </c>
      <c r="AB9" s="55">
        <f>+((S5+S6+S7))/13*12*W9</f>
        <v>12303.214038461505</v>
      </c>
      <c r="AC9" s="55">
        <f>+((T5+T6+T7))/13*12*W9</f>
        <v>12303.214038461505</v>
      </c>
      <c r="AD9" s="55">
        <f>+((U5+U6+U7))/13*12*W9</f>
        <v>12303.214038461538</v>
      </c>
    </row>
    <row r="10" spans="1:30" ht="51" x14ac:dyDescent="0.2">
      <c r="A10" s="41">
        <v>9</v>
      </c>
      <c r="B10" s="10" t="s">
        <v>27</v>
      </c>
      <c r="C10" s="8">
        <v>0.3</v>
      </c>
      <c r="D10" s="29">
        <f>IF(C8="no",C10*ccnl!$E$19,ccnl!$E$19*1.25*C10)</f>
        <v>4067.0962499999996</v>
      </c>
      <c r="E10" s="29">
        <f>IF(C8="no",C10*ccnl!$E$19,ccnl!$E$19*1.25*C10)</f>
        <v>4067.0962499999996</v>
      </c>
      <c r="F10" s="29">
        <f t="shared" si="1"/>
        <v>0</v>
      </c>
      <c r="G10" s="42">
        <f>+F10*F3/M3</f>
        <v>0</v>
      </c>
      <c r="H10" s="26" t="s">
        <v>31</v>
      </c>
      <c r="I10" s="20"/>
      <c r="J10" s="6">
        <f>+J9</f>
        <v>14625.322874999969</v>
      </c>
      <c r="K10" s="6">
        <f>+K9</f>
        <v>14704.765374999968</v>
      </c>
      <c r="L10" s="6"/>
      <c r="N10" s="62">
        <f>C10</f>
        <v>0.3</v>
      </c>
      <c r="O10" s="55">
        <f>IF(N8="no",N10*ccnl!$E$19,ccnl!$E$19*1.25*N10)</f>
        <v>4067.0962499999996</v>
      </c>
      <c r="P10" s="55">
        <f>IF(N8="no",N10*ccnl!$E$19,ccnl!$E$19*1.25*N10)</f>
        <v>4067.0962499999996</v>
      </c>
      <c r="Q10" s="55">
        <f>IF(N8="no",N10*ccnl!$E$19,ccnl!$E$19*1.25*N10)</f>
        <v>4067.0962499999996</v>
      </c>
      <c r="R10" s="55">
        <f>IF(N8="no",N10*ccnl!$E$19,ccnl!$E$19*1.25*N10)</f>
        <v>4067.0962499999996</v>
      </c>
      <c r="S10" s="55">
        <f>IF(N8="no",N10*ccnl!$E$19,ccnl!$E$19*1.25*N10)</f>
        <v>4067.0962499999996</v>
      </c>
      <c r="T10" s="55">
        <f>IF(N8="no",N10*ccnl!$E$19,ccnl!$E$19*1.25*N10)</f>
        <v>4067.0962499999996</v>
      </c>
      <c r="U10" s="55">
        <f>IF(N8="no",N10*ccnl!$E$19,ccnl!$E$19*1.25*N10)</f>
        <v>4067.0962499999996</v>
      </c>
      <c r="V10" s="62">
        <f t="shared" si="0"/>
        <v>0.3</v>
      </c>
      <c r="W10" s="54"/>
      <c r="X10" s="55">
        <f t="shared" ref="X10:AD10" si="2">+((O5*12/13)+O6+O7+O8+O9+O10+O12+X12)/5</f>
        <v>14704.765374999968</v>
      </c>
      <c r="Y10" s="55">
        <f t="shared" si="2"/>
        <v>14834.69537499997</v>
      </c>
      <c r="Z10" s="55">
        <f t="shared" si="2"/>
        <v>15022.270374999969</v>
      </c>
      <c r="AA10" s="55">
        <f t="shared" si="2"/>
        <v>15073.572874999969</v>
      </c>
      <c r="AB10" s="55">
        <f t="shared" si="2"/>
        <v>15098.060374999968</v>
      </c>
      <c r="AC10" s="55">
        <f t="shared" si="2"/>
        <v>15098.060374999968</v>
      </c>
      <c r="AD10" s="55">
        <f t="shared" si="2"/>
        <v>15093.062375</v>
      </c>
    </row>
    <row r="11" spans="1:30" ht="38.25" x14ac:dyDescent="0.2">
      <c r="A11" s="41">
        <v>10</v>
      </c>
      <c r="B11" s="26" t="s">
        <v>36</v>
      </c>
      <c r="C11" s="8">
        <v>0.1</v>
      </c>
      <c r="D11" s="29">
        <f>(D5+D6+D7+D8+D9+D10+J10)*C11</f>
        <v>8295.5628499999802</v>
      </c>
      <c r="E11" s="29">
        <f>(E5+E6+E7+E8+E9+E10+K10+J12)*C11</f>
        <v>8845.3183499999795</v>
      </c>
      <c r="F11" s="29">
        <f>+E11-D11</f>
        <v>549.7554999999993</v>
      </c>
      <c r="G11" s="42">
        <f>+F11*F3/M3</f>
        <v>549.7554999999993</v>
      </c>
      <c r="H11" s="167" t="s">
        <v>19</v>
      </c>
      <c r="I11" s="168"/>
      <c r="J11" s="168"/>
      <c r="K11" s="168"/>
      <c r="L11" s="169"/>
      <c r="N11" s="62">
        <f>C11</f>
        <v>0.1</v>
      </c>
      <c r="O11" s="55">
        <f>(O5+O6+O7+O8+O9+O10+X11+X12)*N11</f>
        <v>8845.3183499999795</v>
      </c>
      <c r="P11" s="55">
        <f>(P5+P6+P7+P8+P9+P10+Y11+Y12)*N11</f>
        <v>8914.5433499999817</v>
      </c>
      <c r="Q11" s="55">
        <f>(Q5+Q6+Q7+Q8+Q9+Q10+Z11+Z12)*N11</f>
        <v>9003.5320999999803</v>
      </c>
      <c r="R11" s="55">
        <f>(R5+R6+R7+R8+R9+R10+AA11+AA12)*N11</f>
        <v>9029.1833499999811</v>
      </c>
      <c r="S11" s="55">
        <f>(S5+S6+S7+S8+S9+S10+AB11+AB12)*N11</f>
        <v>9041.4270999999808</v>
      </c>
      <c r="T11" s="55">
        <f>(T5+T6+T7+T8+T9+T10+AC11+AC12)*N11</f>
        <v>9041.4270999999808</v>
      </c>
      <c r="U11" s="55">
        <f>(U5+U6+U7+U8+U9+U10+AD11+AD12)*N11</f>
        <v>9041.4270999999972</v>
      </c>
      <c r="V11" s="62">
        <f t="shared" si="0"/>
        <v>0.1</v>
      </c>
      <c r="W11" s="54"/>
      <c r="X11" s="55">
        <f>+K10</f>
        <v>14704.765374999968</v>
      </c>
      <c r="Y11" s="55">
        <f>+K10</f>
        <v>14704.765374999968</v>
      </c>
      <c r="Z11" s="55">
        <f>+K10</f>
        <v>14704.765374999968</v>
      </c>
      <c r="AA11" s="55">
        <f>+K10</f>
        <v>14704.765374999968</v>
      </c>
      <c r="AB11" s="55">
        <f>+K10</f>
        <v>14704.765374999968</v>
      </c>
      <c r="AC11" s="55">
        <f>+K10</f>
        <v>14704.765374999968</v>
      </c>
      <c r="AD11" s="55">
        <f>+K10</f>
        <v>14704.765374999968</v>
      </c>
    </row>
    <row r="12" spans="1:30" ht="38.25" x14ac:dyDescent="0.2">
      <c r="A12" s="41">
        <v>11</v>
      </c>
      <c r="B12" s="10" t="s">
        <v>11</v>
      </c>
      <c r="C12" s="9">
        <v>20000</v>
      </c>
      <c r="D12" s="29">
        <f>MAX(+C12-ccnl!$E$19-D9-D10,0)</f>
        <v>3127.9162500000002</v>
      </c>
      <c r="E12" s="29">
        <f>MAX(+C12-E7-IF(E8&gt;3008,3008,E8)-E9-E10,0)</f>
        <v>3127.9162500000002</v>
      </c>
      <c r="F12" s="29">
        <f>IF((E12-D12)&gt;0,+E12-D12,0)</f>
        <v>0</v>
      </c>
      <c r="G12" s="42">
        <f>+F12*F3/M3</f>
        <v>0</v>
      </c>
      <c r="H12" s="27" t="s">
        <v>19</v>
      </c>
      <c r="I12" s="24"/>
      <c r="J12" s="147">
        <v>5000</v>
      </c>
      <c r="K12" s="148"/>
      <c r="L12" s="24"/>
      <c r="N12" s="64">
        <f>+C12</f>
        <v>20000</v>
      </c>
      <c r="O12" s="55">
        <f>MAX(+C12-O7-IF(O8&gt;3008,3008,O8)-O9-O10,0)</f>
        <v>3127.9162500000002</v>
      </c>
      <c r="P12" s="55">
        <f>MAX(+C12-P7-IF(P8&gt;3008,3008,P8)-P9-P10,0)</f>
        <v>3127.9162500000002</v>
      </c>
      <c r="Q12" s="55">
        <f>MAX(+C12-Q7-IF(Q8&gt;3008,3008,Q8)-Q9-Q10,0)</f>
        <v>3237.4037500000004</v>
      </c>
      <c r="R12" s="55">
        <f>MAX(+C12-R7-IF(R8&gt;3008,3008,R8)-R9-R10,0)</f>
        <v>3237.4037500000004</v>
      </c>
      <c r="S12" s="55">
        <f>MAX(+C12-S7-IF(S8&gt;3008,3008,S8)-S9-S10,0)</f>
        <v>3237.4037500000004</v>
      </c>
      <c r="T12" s="55">
        <f>MAX(+C12-T7-IF(T8&gt;3008,3008,T8)-T9-T10,0)</f>
        <v>3237.4037500000004</v>
      </c>
      <c r="U12" s="55">
        <f>MAX(+C12-U7-IF(U8&gt;3008,3008,U8)-U9-U10,0)</f>
        <v>3237.4037500000004</v>
      </c>
      <c r="V12" s="64">
        <f t="shared" si="0"/>
        <v>20000</v>
      </c>
      <c r="W12" s="65"/>
      <c r="X12" s="66">
        <f>J12</f>
        <v>5000</v>
      </c>
      <c r="Y12" s="66">
        <f>J12</f>
        <v>5000</v>
      </c>
      <c r="Z12" s="66">
        <f>J12</f>
        <v>5000</v>
      </c>
      <c r="AA12" s="66">
        <f>J12</f>
        <v>5000</v>
      </c>
      <c r="AB12" s="66">
        <f>J12</f>
        <v>5000</v>
      </c>
      <c r="AC12" s="66">
        <f>J12</f>
        <v>5000</v>
      </c>
      <c r="AD12" s="66">
        <f>J12</f>
        <v>5000</v>
      </c>
    </row>
    <row r="13" spans="1:30" s="16" customFormat="1" ht="21" x14ac:dyDescent="0.35">
      <c r="A13" s="40"/>
      <c r="B13" s="149" t="s">
        <v>13</v>
      </c>
      <c r="C13" s="149"/>
      <c r="D13" s="31">
        <f>SUM(D5:D12)</f>
        <v>79753.784724999816</v>
      </c>
      <c r="E13" s="31">
        <f>SUM(E5:E12)</f>
        <v>80721.652724999803</v>
      </c>
      <c r="F13" s="34">
        <f>SUM(F5:F12)</f>
        <v>967.86799999998675</v>
      </c>
      <c r="G13" s="35">
        <f>SUM(G5:G12)</f>
        <v>967.86799999998675</v>
      </c>
      <c r="J13" s="32"/>
      <c r="K13" s="32"/>
      <c r="M13" s="67"/>
      <c r="N13" s="68"/>
      <c r="O13" s="69">
        <f t="shared" ref="O13:U13" si="3">SUM(O5:O12)</f>
        <v>80721.652724999803</v>
      </c>
      <c r="P13" s="69">
        <f t="shared" si="3"/>
        <v>81483.127724999809</v>
      </c>
      <c r="Q13" s="69">
        <f t="shared" si="3"/>
        <v>82571.491474999813</v>
      </c>
      <c r="R13" s="69">
        <f t="shared" si="3"/>
        <v>82853.655224999806</v>
      </c>
      <c r="S13" s="69">
        <f t="shared" si="3"/>
        <v>82988.336474999815</v>
      </c>
      <c r="T13" s="69">
        <f t="shared" si="3"/>
        <v>82988.336474999815</v>
      </c>
      <c r="U13" s="69">
        <f t="shared" si="3"/>
        <v>82988.336474999989</v>
      </c>
      <c r="V13" s="68">
        <f t="shared" si="0"/>
        <v>0</v>
      </c>
      <c r="W13" s="70"/>
      <c r="X13" s="70"/>
      <c r="Y13" s="70"/>
      <c r="Z13" s="70"/>
      <c r="AA13" s="70"/>
      <c r="AB13" s="70"/>
      <c r="AC13" s="70"/>
      <c r="AD13" s="70"/>
    </row>
    <row r="14" spans="1:30" ht="9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71"/>
      <c r="N14" s="68"/>
      <c r="O14" s="69"/>
      <c r="P14" s="69"/>
      <c r="Q14" s="69"/>
      <c r="R14" s="69"/>
      <c r="S14" s="69"/>
      <c r="T14" s="69"/>
      <c r="U14" s="69"/>
      <c r="V14" s="68"/>
    </row>
    <row r="15" spans="1:30" s="14" customFormat="1" ht="19.5" customHeight="1" x14ac:dyDescent="0.25">
      <c r="A15" s="39"/>
      <c r="B15" s="150" t="s">
        <v>0</v>
      </c>
      <c r="C15" s="151" t="s">
        <v>54</v>
      </c>
      <c r="D15" s="153" t="s">
        <v>47</v>
      </c>
      <c r="E15" s="33">
        <v>42736</v>
      </c>
      <c r="F15" s="33">
        <v>43100</v>
      </c>
      <c r="G15" s="155" t="s">
        <v>22</v>
      </c>
      <c r="M15" s="44">
        <v>42736</v>
      </c>
      <c r="N15" s="45">
        <v>43100</v>
      </c>
      <c r="O15" s="46" t="s">
        <v>55</v>
      </c>
      <c r="P15" s="46" t="s">
        <v>54</v>
      </c>
      <c r="Q15" s="46" t="s">
        <v>40</v>
      </c>
      <c r="R15" s="46" t="s">
        <v>41</v>
      </c>
      <c r="S15" s="46" t="s">
        <v>42</v>
      </c>
      <c r="T15" s="46" t="s">
        <v>44</v>
      </c>
      <c r="U15" s="46" t="s">
        <v>43</v>
      </c>
      <c r="V15" s="47"/>
      <c r="W15" s="48"/>
      <c r="X15" s="48"/>
      <c r="Y15" s="48"/>
      <c r="Z15" s="48"/>
      <c r="AA15" s="48"/>
      <c r="AB15" s="48"/>
      <c r="AC15" s="48"/>
      <c r="AD15" s="48"/>
    </row>
    <row r="16" spans="1:30" s="14" customFormat="1" ht="17.25" customHeight="1" x14ac:dyDescent="0.25">
      <c r="A16" s="39"/>
      <c r="B16" s="150"/>
      <c r="C16" s="152"/>
      <c r="D16" s="154"/>
      <c r="E16" s="37" t="s">
        <v>45</v>
      </c>
      <c r="F16" s="21">
        <f>+F15-E15+1</f>
        <v>365</v>
      </c>
      <c r="G16" s="155"/>
      <c r="M16" s="49">
        <f>_xlfn.DAYS(N15,M15)+1</f>
        <v>365</v>
      </c>
      <c r="N16" s="47"/>
      <c r="O16" s="46"/>
      <c r="P16" s="46"/>
      <c r="Q16" s="46"/>
      <c r="R16" s="46"/>
      <c r="S16" s="46"/>
      <c r="T16" s="46"/>
      <c r="U16" s="46"/>
      <c r="V16" s="47"/>
      <c r="W16" s="48"/>
      <c r="X16" s="48"/>
      <c r="Y16" s="48"/>
      <c r="Z16" s="48"/>
      <c r="AA16" s="48"/>
      <c r="AB16" s="48"/>
      <c r="AC16" s="48"/>
      <c r="AD16" s="48"/>
    </row>
    <row r="17" spans="1:30" s="14" customFormat="1" ht="15" customHeight="1" x14ac:dyDescent="0.25">
      <c r="A17" s="39"/>
      <c r="B17" s="150"/>
      <c r="C17" s="36"/>
      <c r="D17" s="19" t="s">
        <v>48</v>
      </c>
      <c r="E17" s="19" t="s">
        <v>23</v>
      </c>
      <c r="F17" s="19" t="s">
        <v>46</v>
      </c>
      <c r="G17" s="155"/>
      <c r="H17" s="11"/>
      <c r="I17" s="11"/>
      <c r="J17" s="19" t="s">
        <v>24</v>
      </c>
      <c r="K17" s="19" t="s">
        <v>25</v>
      </c>
      <c r="L17" s="19" t="s">
        <v>26</v>
      </c>
      <c r="M17" s="50"/>
      <c r="N17" s="47"/>
      <c r="O17" s="51"/>
      <c r="P17" s="52"/>
      <c r="Q17" s="52"/>
      <c r="R17" s="52"/>
      <c r="S17" s="52"/>
      <c r="T17" s="52"/>
      <c r="U17" s="52"/>
      <c r="V17" s="47"/>
      <c r="W17" s="48"/>
      <c r="X17" s="48"/>
      <c r="Y17" s="48"/>
      <c r="Z17" s="48"/>
      <c r="AA17" s="48"/>
      <c r="AB17" s="48"/>
      <c r="AC17" s="48"/>
      <c r="AD17" s="48"/>
    </row>
    <row r="18" spans="1:30" ht="38.25" customHeight="1" x14ac:dyDescent="0.2">
      <c r="A18" s="41">
        <v>4</v>
      </c>
      <c r="B18" s="26" t="s">
        <v>21</v>
      </c>
      <c r="C18" s="20"/>
      <c r="D18" s="29">
        <f>+ccnl!$E$3</f>
        <v>43310.897499999868</v>
      </c>
      <c r="E18" s="29">
        <f>HLOOKUP(C15,O15:T25,A18,FALSE)</f>
        <v>44136.397499999861</v>
      </c>
      <c r="F18" s="29">
        <f>+E18-D18</f>
        <v>825.49999999999272</v>
      </c>
      <c r="G18" s="42">
        <f>+F18*F16/M16</f>
        <v>825.49999999999261</v>
      </c>
      <c r="H18" s="167" t="s">
        <v>14</v>
      </c>
      <c r="I18" s="168"/>
      <c r="J18" s="168"/>
      <c r="K18" s="168"/>
      <c r="L18" s="169"/>
      <c r="N18" s="54"/>
      <c r="O18" s="55">
        <v>43582.597499999858</v>
      </c>
      <c r="P18" s="55">
        <v>44136.397499999861</v>
      </c>
      <c r="Q18" s="55">
        <v>44935.897499999861</v>
      </c>
      <c r="R18" s="55">
        <v>44935.897499999861</v>
      </c>
      <c r="S18" s="55">
        <v>44935.897499999861</v>
      </c>
      <c r="T18" s="55">
        <v>44935.897499999861</v>
      </c>
      <c r="U18" s="55">
        <f>33423.31*13/12</f>
        <v>36208.585833333331</v>
      </c>
      <c r="V18" s="54">
        <f>+N18</f>
        <v>0</v>
      </c>
    </row>
    <row r="19" spans="1:30" ht="38.25" x14ac:dyDescent="0.2">
      <c r="A19" s="41">
        <v>5</v>
      </c>
      <c r="B19" s="26" t="s">
        <v>6</v>
      </c>
      <c r="C19" s="20"/>
      <c r="D19" s="30">
        <f>HLOOKUP(C15,IVC!$A$1:$G$10,4,TRUE)</f>
        <v>262.08</v>
      </c>
      <c r="E19" s="30">
        <f>HLOOKUP(C15,IVC!$A$1:$G$10,9,TRUE)</f>
        <v>324.87</v>
      </c>
      <c r="F19" s="30">
        <f>+E19-D19</f>
        <v>62.79000000000002</v>
      </c>
      <c r="G19" s="42">
        <f>+F19*F16/M16</f>
        <v>62.790000000000013</v>
      </c>
      <c r="H19" s="23" t="s">
        <v>15</v>
      </c>
      <c r="I19" s="25">
        <v>0.15</v>
      </c>
      <c r="J19" s="6">
        <f>+((D18+D19+D20))/13*12*I19</f>
        <v>7118.3862692307521</v>
      </c>
      <c r="K19" s="6">
        <f>+(E18+E19+E20)*12/13*I19</f>
        <v>7241.3802692307509</v>
      </c>
      <c r="L19" s="6">
        <f>+(F18+F19+F20)*12/13*I19</f>
        <v>122.99399999999898</v>
      </c>
      <c r="N19" s="54"/>
      <c r="O19" s="57">
        <f>+IVC!$B$9</f>
        <v>324.87</v>
      </c>
      <c r="P19" s="57">
        <f>+IVC!$C$9</f>
        <v>324.87</v>
      </c>
      <c r="Q19" s="57">
        <f>+IVC!$D$9</f>
        <v>324.87</v>
      </c>
      <c r="R19" s="57">
        <f>+IVC!$E$9</f>
        <v>530.08000000000004</v>
      </c>
      <c r="S19" s="57">
        <f>+IVC!$F$9</f>
        <v>628.03</v>
      </c>
      <c r="T19" s="57">
        <f>+IVC!$G$9</f>
        <v>628.03</v>
      </c>
      <c r="U19" s="58">
        <f>+IVC!$H$9</f>
        <v>303.16000000000003</v>
      </c>
      <c r="V19" s="54">
        <f t="shared" ref="V19:V26" si="4">+N19</f>
        <v>0</v>
      </c>
    </row>
    <row r="20" spans="1:30" ht="38.25" x14ac:dyDescent="0.2">
      <c r="A20" s="41">
        <v>6</v>
      </c>
      <c r="B20" s="10" t="s">
        <v>7</v>
      </c>
      <c r="C20" s="5"/>
      <c r="D20" s="29">
        <f>+ccnl!$E$5</f>
        <v>7837.59</v>
      </c>
      <c r="E20" s="29">
        <f>HLOOKUP(C15,O15:T25,A20,TRUE)</f>
        <v>7837.59</v>
      </c>
      <c r="F20" s="29">
        <f t="shared" ref="F20:F24" si="5">+E20-D20</f>
        <v>0</v>
      </c>
      <c r="G20" s="42">
        <f>+F20*F16/M16</f>
        <v>0</v>
      </c>
      <c r="H20" s="23" t="s">
        <v>16</v>
      </c>
      <c r="I20" s="25">
        <v>0.25</v>
      </c>
      <c r="J20" s="6">
        <f>+((D18+D19+D20))/13*12*I20</f>
        <v>11863.977115384587</v>
      </c>
      <c r="K20" s="6">
        <f>+((E18+E19+E20))/13*12*I20</f>
        <v>12068.967115384585</v>
      </c>
      <c r="L20" s="6">
        <f>+((F18+F19+F20))/13*12*I20</f>
        <v>204.98999999999833</v>
      </c>
      <c r="N20" s="59"/>
      <c r="O20" s="55">
        <f>+ccnl!$E$5</f>
        <v>7837.59</v>
      </c>
      <c r="P20" s="55">
        <f>+ccnl!$E$5</f>
        <v>7837.59</v>
      </c>
      <c r="Q20" s="55">
        <v>8230</v>
      </c>
      <c r="R20" s="55">
        <v>8230</v>
      </c>
      <c r="S20" s="55">
        <v>8230</v>
      </c>
      <c r="T20" s="55">
        <v>8230</v>
      </c>
      <c r="U20" s="55">
        <v>8230</v>
      </c>
      <c r="V20" s="59">
        <f t="shared" si="4"/>
        <v>0</v>
      </c>
    </row>
    <row r="21" spans="1:30" x14ac:dyDescent="0.2">
      <c r="A21" s="41">
        <v>7</v>
      </c>
      <c r="B21" s="10" t="s">
        <v>8</v>
      </c>
      <c r="C21" s="7" t="s">
        <v>20</v>
      </c>
      <c r="D21" s="29">
        <f>IF(C21="SI", (D18+D19)*25%,0)</f>
        <v>10893.244374999967</v>
      </c>
      <c r="E21" s="29">
        <f>IF(C21="SI", (E18+E19)*25%,0)</f>
        <v>11115.316874999966</v>
      </c>
      <c r="F21" s="29">
        <f t="shared" si="5"/>
        <v>222.0724999999984</v>
      </c>
      <c r="G21" s="42">
        <f>+F21*F16/M16</f>
        <v>222.0724999999984</v>
      </c>
      <c r="H21" s="167" t="s">
        <v>17</v>
      </c>
      <c r="I21" s="168"/>
      <c r="J21" s="168"/>
      <c r="K21" s="168"/>
      <c r="L21" s="169"/>
      <c r="N21" s="60" t="str">
        <f>C21</f>
        <v>SI</v>
      </c>
      <c r="O21" s="55">
        <f>IF(N21="SI", (O18+O19)*25%,0)</f>
        <v>10976.866874999965</v>
      </c>
      <c r="P21" s="55">
        <f>IF(N21="SI", (P18+P19)*25%,0)</f>
        <v>11115.316874999966</v>
      </c>
      <c r="Q21" s="55">
        <f>IF(N21="SI", (Q18+Q19)*25%,0)</f>
        <v>11315.191874999966</v>
      </c>
      <c r="R21" s="55">
        <f>IF(N21="SI", (R18+R19)*25%,0)</f>
        <v>11366.494374999966</v>
      </c>
      <c r="S21" s="55">
        <f>IF(N21="SI", (S18+S19)*25%,0)</f>
        <v>11390.981874999965</v>
      </c>
      <c r="T21" s="55">
        <f>IF(N21="SI", (T18+T19)*25%,0)</f>
        <v>11390.981874999965</v>
      </c>
      <c r="U21" s="55">
        <f>IF(N21="SI", (U18+U19)*25%,0)</f>
        <v>9127.9364583333336</v>
      </c>
      <c r="V21" s="60" t="str">
        <f t="shared" si="4"/>
        <v>SI</v>
      </c>
      <c r="W21" s="61">
        <f>I19</f>
        <v>0.15</v>
      </c>
      <c r="X21" s="55">
        <f>+((O18+O19+O20))/13*12*W21</f>
        <v>7164.7002692307497</v>
      </c>
      <c r="Y21" s="55">
        <f>+((P18+P19+P20))/13*12*W21</f>
        <v>7241.3802692307509</v>
      </c>
      <c r="Z21" s="55">
        <f>+((Q18+Q19+Q20))/13*12*W21</f>
        <v>7406.4139615384429</v>
      </c>
      <c r="AA21" s="55">
        <f>+((R18+R19+R20))/13*12*W21</f>
        <v>7434.827653846135</v>
      </c>
      <c r="AB21" s="55">
        <f>+((S18+S19+S20))/13*12*W21</f>
        <v>7448.3899615384416</v>
      </c>
      <c r="AC21" s="55">
        <f>+((T18+T19+T20))/13*12*W21</f>
        <v>7448.3899615384416</v>
      </c>
      <c r="AD21" s="55">
        <f>+((U18+U19+U20))/13*12*W21</f>
        <v>6195.0109615384617</v>
      </c>
    </row>
    <row r="22" spans="1:30" x14ac:dyDescent="0.2">
      <c r="A22" s="41">
        <v>8</v>
      </c>
      <c r="B22" s="10" t="s">
        <v>28</v>
      </c>
      <c r="C22" s="22">
        <f>IF(C21="SI",25%,0)</f>
        <v>0.25</v>
      </c>
      <c r="D22" s="29">
        <f>+D20*C22</f>
        <v>1959.3975</v>
      </c>
      <c r="E22" s="29">
        <f>+E20*C22</f>
        <v>1959.3975</v>
      </c>
      <c r="F22" s="29">
        <f t="shared" si="5"/>
        <v>0</v>
      </c>
      <c r="G22" s="42">
        <f>+F22*F16/M16</f>
        <v>0</v>
      </c>
      <c r="H22" s="10" t="s">
        <v>18</v>
      </c>
      <c r="I22" s="20"/>
      <c r="J22" s="6">
        <f>+((D18*12/13)+D19+D20+D21+D22+D23+D25+J25)/5</f>
        <v>14625.322874999969</v>
      </c>
      <c r="K22" s="6">
        <f>+((E18*12/13)+E19+E20+E21+E22+E23+E25+J25)/5</f>
        <v>14834.69537499997</v>
      </c>
      <c r="L22" s="6">
        <f>+K22-J22</f>
        <v>209.37250000000131</v>
      </c>
      <c r="N22" s="62">
        <f>C22</f>
        <v>0.25</v>
      </c>
      <c r="O22" s="55">
        <f>+O20*N22</f>
        <v>1959.3975</v>
      </c>
      <c r="P22" s="55">
        <f>+P20*N22</f>
        <v>1959.3975</v>
      </c>
      <c r="Q22" s="55">
        <f>+Q20*N22</f>
        <v>2057.5</v>
      </c>
      <c r="R22" s="55">
        <f>+R20*N22</f>
        <v>2057.5</v>
      </c>
      <c r="S22" s="55">
        <f>+S20*N22</f>
        <v>2057.5</v>
      </c>
      <c r="T22" s="55">
        <f>+T20*N22</f>
        <v>2057.5</v>
      </c>
      <c r="U22" s="55">
        <f>+U20*N22</f>
        <v>2057.5</v>
      </c>
      <c r="V22" s="62">
        <f t="shared" si="4"/>
        <v>0.25</v>
      </c>
      <c r="W22" s="61">
        <f>I20</f>
        <v>0.25</v>
      </c>
      <c r="X22" s="63">
        <f>+((O18+O19+O20))/13*12*W22</f>
        <v>11941.167115384584</v>
      </c>
      <c r="Y22" s="55">
        <f>+((P18+P19+P20))/13*12*W22</f>
        <v>12068.967115384585</v>
      </c>
      <c r="Z22" s="55">
        <f>+((Q18+Q19+Q20))/13*12*W22</f>
        <v>12344.023269230738</v>
      </c>
      <c r="AA22" s="55">
        <f>+((R18+R19+R20))/13*12*W22</f>
        <v>12391.379423076893</v>
      </c>
      <c r="AB22" s="55">
        <f>+((S18+S19+S20))/13*12*W22</f>
        <v>12413.983269230737</v>
      </c>
      <c r="AC22" s="55">
        <f>+((T18+T19+T20))/13*12*W22</f>
        <v>12413.983269230737</v>
      </c>
      <c r="AD22" s="55">
        <f>+((U18+U19+U20))/13*12*W22</f>
        <v>10325.01826923077</v>
      </c>
    </row>
    <row r="23" spans="1:30" ht="51" x14ac:dyDescent="0.2">
      <c r="A23" s="41">
        <v>9</v>
      </c>
      <c r="B23" s="10" t="s">
        <v>27</v>
      </c>
      <c r="C23" s="8">
        <v>0.3</v>
      </c>
      <c r="D23" s="29">
        <f>IF(C21="no",C23*ccnl!$E$19,ccnl!$E$19*1.25*C23)</f>
        <v>4067.0962499999996</v>
      </c>
      <c r="E23" s="29">
        <f>IF(C21="no",C23*ccnl!$E$19,ccnl!$E$19*1.25*C23)</f>
        <v>4067.0962499999996</v>
      </c>
      <c r="F23" s="29">
        <f t="shared" si="5"/>
        <v>0</v>
      </c>
      <c r="G23" s="42">
        <f>+F23*F16/M16</f>
        <v>0</v>
      </c>
      <c r="H23" s="26" t="s">
        <v>31</v>
      </c>
      <c r="I23" s="20"/>
      <c r="J23" s="6">
        <f>+J22</f>
        <v>14625.322874999969</v>
      </c>
      <c r="K23" s="6">
        <f>+K22</f>
        <v>14834.69537499997</v>
      </c>
      <c r="L23" s="6"/>
      <c r="N23" s="62">
        <f>C23</f>
        <v>0.3</v>
      </c>
      <c r="O23" s="55">
        <f>IF(N21="no",N23*ccnl!$E$19,ccnl!$E$19*1.25*N23)</f>
        <v>4067.0962499999996</v>
      </c>
      <c r="P23" s="55">
        <f>IF(N21="no",N23*ccnl!$E$19,ccnl!$E$19*1.25*N23)</f>
        <v>4067.0962499999996</v>
      </c>
      <c r="Q23" s="55">
        <f>IF(N21="no",N23*ccnl!$E$19,ccnl!$E$19*1.25*N23)</f>
        <v>4067.0962499999996</v>
      </c>
      <c r="R23" s="55">
        <f>IF(N21="no",N23*ccnl!$E$19,ccnl!$E$19*1.25*N23)</f>
        <v>4067.0962499999996</v>
      </c>
      <c r="S23" s="55">
        <f>IF(N21="no",N23*ccnl!$E$19,ccnl!$E$19*1.25*N23)</f>
        <v>4067.0962499999996</v>
      </c>
      <c r="T23" s="55">
        <f>IF(N21="no",N23*ccnl!$E$19,ccnl!$E$19*1.25*N23)</f>
        <v>4067.0962499999996</v>
      </c>
      <c r="U23" s="55">
        <f>IF(N21="no",N23*ccnl!$E$19,ccnl!$E$19*1.25*N23)</f>
        <v>4067.0962499999996</v>
      </c>
      <c r="V23" s="62">
        <f t="shared" si="4"/>
        <v>0.3</v>
      </c>
      <c r="W23" s="54"/>
      <c r="X23" s="55">
        <f t="shared" ref="X23" si="6">+((O18*12/13)+O19+O20+O21+O22+O23+O25+X25)/5</f>
        <v>14704.765374999968</v>
      </c>
      <c r="Y23" s="55">
        <f t="shared" ref="Y23" si="7">+((P18*12/13)+P19+P20+P21+P22+P23+P25+Y25)/5</f>
        <v>14834.69537499997</v>
      </c>
      <c r="Z23" s="55">
        <f t="shared" ref="Z23" si="8">+((Q18*12/13)+Q19+Q20+Q21+Q22+Q23+Q25+Z25)/5</f>
        <v>15022.270374999969</v>
      </c>
      <c r="AA23" s="55">
        <f t="shared" ref="AA23" si="9">+((R18*12/13)+R19+R20+R21+R22+R23+R25+AA25)/5</f>
        <v>15073.572874999969</v>
      </c>
      <c r="AB23" s="55">
        <f t="shared" ref="AB23" si="10">+((S18*12/13)+S19+S20+S21+S22+S23+S25+AB25)/5</f>
        <v>15098.060374999968</v>
      </c>
      <c r="AC23" s="55">
        <f t="shared" ref="AC23" si="11">+((T18*12/13)+T19+T20+T21+T22+T23+T25+AC25)/5</f>
        <v>15098.060374999968</v>
      </c>
      <c r="AD23" s="55">
        <f t="shared" ref="AD23" si="12">+((U18*12/13)+U19+U20+U21+U22+U23+U25+AD25)/5</f>
        <v>12969.281291666668</v>
      </c>
    </row>
    <row r="24" spans="1:30" ht="38.25" x14ac:dyDescent="0.2">
      <c r="A24" s="41">
        <v>10</v>
      </c>
      <c r="B24" s="26" t="s">
        <v>36</v>
      </c>
      <c r="C24" s="8">
        <v>0.1</v>
      </c>
      <c r="D24" s="29">
        <f>(D18+D19+D20+D21+D22+D23+J23)*C24</f>
        <v>8295.5628499999802</v>
      </c>
      <c r="E24" s="29">
        <f>(E18+E19+E20+E21+E22+E23+K23+J25)*C24</f>
        <v>8927.5363499999803</v>
      </c>
      <c r="F24" s="29">
        <f t="shared" si="5"/>
        <v>631.97350000000006</v>
      </c>
      <c r="G24" s="42">
        <f>+F24*F16/M16</f>
        <v>631.97350000000006</v>
      </c>
      <c r="H24" s="167" t="s">
        <v>19</v>
      </c>
      <c r="I24" s="168"/>
      <c r="J24" s="168"/>
      <c r="K24" s="168"/>
      <c r="L24" s="169"/>
      <c r="N24" s="62">
        <f>C24</f>
        <v>0.1</v>
      </c>
      <c r="O24" s="55">
        <f>(O18+O19+O20+O21+O22+O23+X24+X25)*N24</f>
        <v>8858.3113499999799</v>
      </c>
      <c r="P24" s="55">
        <f>(P18+P19+P20+P21+P22+P23+Y24+Y25)*N24</f>
        <v>8927.5363499999803</v>
      </c>
      <c r="Q24" s="55">
        <f>(Q18+Q19+Q20+Q21+Q22+Q23+Z24+Z25)*N24</f>
        <v>9076.5250999999807</v>
      </c>
      <c r="R24" s="55">
        <f>(R18+R19+R20+R21+R22+R23+AA24+AA25)*N24</f>
        <v>9102.1763499999797</v>
      </c>
      <c r="S24" s="55">
        <f>(S18+S19+S20+S21+S22+S23+AB24+AB25)*N24</f>
        <v>9114.4200999999794</v>
      </c>
      <c r="T24" s="55">
        <f>(T18+T19+T20+T21+T22+T23+AC24+AC25)*N24</f>
        <v>9114.4200999999794</v>
      </c>
      <c r="U24" s="55">
        <f>(U18+U19+U20+U21+U22+U23+AD24+AD25)*N24</f>
        <v>7982.8973916666646</v>
      </c>
      <c r="V24" s="62">
        <f t="shared" si="4"/>
        <v>0.1</v>
      </c>
      <c r="W24" s="54"/>
      <c r="X24" s="55">
        <f>+K23</f>
        <v>14834.69537499997</v>
      </c>
      <c r="Y24" s="55">
        <f>+K23</f>
        <v>14834.69537499997</v>
      </c>
      <c r="Z24" s="55">
        <f>+K23</f>
        <v>14834.69537499997</v>
      </c>
      <c r="AA24" s="55">
        <f>+K23</f>
        <v>14834.69537499997</v>
      </c>
      <c r="AB24" s="55">
        <f>+K23</f>
        <v>14834.69537499997</v>
      </c>
      <c r="AC24" s="55">
        <f>+K23</f>
        <v>14834.69537499997</v>
      </c>
      <c r="AD24" s="55">
        <f>+K23</f>
        <v>14834.69537499997</v>
      </c>
    </row>
    <row r="25" spans="1:30" ht="38.25" x14ac:dyDescent="0.2">
      <c r="A25" s="41">
        <v>11</v>
      </c>
      <c r="B25" s="10" t="s">
        <v>11</v>
      </c>
      <c r="C25" s="9">
        <v>20000</v>
      </c>
      <c r="D25" s="29">
        <f>MAX(+C25-ccnl!$E$19-D22-D23,0)</f>
        <v>3127.9162500000002</v>
      </c>
      <c r="E25" s="29">
        <f>MAX(+C25-E20-IF(E21&gt;3008,3008,E21)-E22-E23,0)</f>
        <v>3127.9162500000002</v>
      </c>
      <c r="F25" s="29">
        <f>IF((E25-D25)&gt;0,+E25-D25,0)</f>
        <v>0</v>
      </c>
      <c r="G25" s="42">
        <f>+F25*F16/M16</f>
        <v>0</v>
      </c>
      <c r="H25" s="27" t="s">
        <v>19</v>
      </c>
      <c r="I25" s="24"/>
      <c r="J25" s="147">
        <v>5000</v>
      </c>
      <c r="K25" s="148"/>
      <c r="L25" s="24"/>
      <c r="N25" s="64">
        <f>+C25</f>
        <v>20000</v>
      </c>
      <c r="O25" s="55">
        <f>MAX(+C25-O20-IF(O21&gt;3008,3008,O21)-O22-O23,0)</f>
        <v>3127.9162500000002</v>
      </c>
      <c r="P25" s="55">
        <f>MAX(+C25-P20-IF(P21&gt;3008,3008,P21)-P22-P23,0)</f>
        <v>3127.9162500000002</v>
      </c>
      <c r="Q25" s="55">
        <f>MAX(+C25-Q20-IF(Q21&gt;3008,3008,Q21)-Q22-Q23,0)</f>
        <v>2637.4037500000004</v>
      </c>
      <c r="R25" s="55">
        <f>MAX(+C25-R20-IF(R21&gt;3008,3008,R21)-R22-R23,0)</f>
        <v>2637.4037500000004</v>
      </c>
      <c r="S25" s="55">
        <f>MAX(+C25-S20-IF(S21&gt;3008,3008,S21)-S22-S23,0)</f>
        <v>2637.4037500000004</v>
      </c>
      <c r="T25" s="55">
        <f>MAX(+C25-T20-IF(T21&gt;3008,3008,T21)-T22-T23,0)</f>
        <v>2637.4037500000004</v>
      </c>
      <c r="U25" s="55">
        <f>MAX(+C25-U20-IF(U21&gt;3008,3008,U21)-U22-U23,0)</f>
        <v>2637.4037500000004</v>
      </c>
      <c r="V25" s="64">
        <f t="shared" si="4"/>
        <v>20000</v>
      </c>
      <c r="W25" s="65"/>
      <c r="X25" s="66">
        <f>J25</f>
        <v>5000</v>
      </c>
      <c r="Y25" s="66">
        <f>J25</f>
        <v>5000</v>
      </c>
      <c r="Z25" s="66">
        <f>J25</f>
        <v>5000</v>
      </c>
      <c r="AA25" s="66">
        <f>J25</f>
        <v>5000</v>
      </c>
      <c r="AB25" s="66">
        <f>J25</f>
        <v>5000</v>
      </c>
      <c r="AC25" s="66">
        <f>J25</f>
        <v>5000</v>
      </c>
      <c r="AD25" s="66">
        <f>J25</f>
        <v>5000</v>
      </c>
    </row>
    <row r="26" spans="1:30" s="16" customFormat="1" ht="21" x14ac:dyDescent="0.35">
      <c r="A26" s="40"/>
      <c r="B26" s="149" t="s">
        <v>13</v>
      </c>
      <c r="C26" s="149"/>
      <c r="D26" s="31">
        <f>SUM(D18:D25)</f>
        <v>79753.784724999816</v>
      </c>
      <c r="E26" s="31">
        <f>SUM(E18:E25)</f>
        <v>81496.120724999812</v>
      </c>
      <c r="F26" s="34">
        <f>SUM(F18:F25)</f>
        <v>1742.3359999999911</v>
      </c>
      <c r="G26" s="35">
        <f>SUM(G18:G25)</f>
        <v>1742.3359999999911</v>
      </c>
      <c r="J26" s="32"/>
      <c r="K26" s="32"/>
      <c r="M26" s="67"/>
      <c r="N26" s="68"/>
      <c r="O26" s="69">
        <f t="shared" ref="O26:U26" si="13">SUM(O18:O25)</f>
        <v>80734.645724999791</v>
      </c>
      <c r="P26" s="69">
        <f t="shared" si="13"/>
        <v>81496.120724999812</v>
      </c>
      <c r="Q26" s="69">
        <f t="shared" si="13"/>
        <v>82644.484474999816</v>
      </c>
      <c r="R26" s="69">
        <f t="shared" si="13"/>
        <v>82926.648224999808</v>
      </c>
      <c r="S26" s="69">
        <f t="shared" si="13"/>
        <v>83061.329474999802</v>
      </c>
      <c r="T26" s="69">
        <f t="shared" si="13"/>
        <v>83061.329474999802</v>
      </c>
      <c r="U26" s="69">
        <f t="shared" si="13"/>
        <v>70614.57968333333</v>
      </c>
      <c r="V26" s="68">
        <f t="shared" si="4"/>
        <v>0</v>
      </c>
      <c r="W26" s="70"/>
      <c r="X26" s="70"/>
      <c r="Y26" s="70"/>
      <c r="Z26" s="70"/>
      <c r="AA26" s="70"/>
      <c r="AB26" s="70"/>
      <c r="AC26" s="70"/>
      <c r="AD26" s="70"/>
    </row>
    <row r="28" spans="1:30" s="14" customFormat="1" ht="19.5" customHeight="1" x14ac:dyDescent="0.25">
      <c r="A28" s="39"/>
      <c r="B28" s="150" t="s">
        <v>0</v>
      </c>
      <c r="C28" s="151" t="s">
        <v>40</v>
      </c>
      <c r="D28" s="153" t="s">
        <v>47</v>
      </c>
      <c r="E28" s="33">
        <v>43101</v>
      </c>
      <c r="F28" s="33">
        <v>43465</v>
      </c>
      <c r="G28" s="155" t="s">
        <v>22</v>
      </c>
      <c r="M28" s="44">
        <v>43101</v>
      </c>
      <c r="N28" s="45">
        <v>43465</v>
      </c>
      <c r="O28" s="46">
        <v>2016</v>
      </c>
      <c r="P28" s="46">
        <v>2017</v>
      </c>
      <c r="Q28" s="46" t="s">
        <v>40</v>
      </c>
      <c r="R28" s="46" t="s">
        <v>41</v>
      </c>
      <c r="S28" s="46" t="s">
        <v>42</v>
      </c>
      <c r="T28" s="46" t="s">
        <v>44</v>
      </c>
      <c r="U28" s="46" t="s">
        <v>43</v>
      </c>
      <c r="V28" s="47"/>
      <c r="W28" s="48"/>
      <c r="X28" s="48"/>
      <c r="Y28" s="48"/>
      <c r="Z28" s="48"/>
      <c r="AA28" s="48"/>
      <c r="AB28" s="48"/>
      <c r="AC28" s="48"/>
      <c r="AD28" s="48"/>
    </row>
    <row r="29" spans="1:30" s="14" customFormat="1" ht="17.25" customHeight="1" x14ac:dyDescent="0.25">
      <c r="A29" s="39"/>
      <c r="B29" s="150"/>
      <c r="C29" s="152"/>
      <c r="D29" s="154"/>
      <c r="E29" s="37" t="s">
        <v>45</v>
      </c>
      <c r="F29" s="21">
        <f>+F28-E28+1</f>
        <v>365</v>
      </c>
      <c r="G29" s="155"/>
      <c r="M29" s="49">
        <f>_xlfn.DAYS(N28,M28)+1</f>
        <v>365</v>
      </c>
      <c r="N29" s="47"/>
      <c r="O29" s="46"/>
      <c r="P29" s="46"/>
      <c r="Q29" s="46"/>
      <c r="R29" s="46"/>
      <c r="S29" s="46"/>
      <c r="T29" s="46"/>
      <c r="U29" s="46"/>
      <c r="V29" s="47"/>
      <c r="W29" s="48"/>
      <c r="X29" s="48"/>
      <c r="Y29" s="48"/>
      <c r="Z29" s="48"/>
      <c r="AA29" s="48"/>
      <c r="AB29" s="48"/>
      <c r="AC29" s="48"/>
      <c r="AD29" s="48"/>
    </row>
    <row r="30" spans="1:30" s="14" customFormat="1" ht="15" customHeight="1" x14ac:dyDescent="0.25">
      <c r="A30" s="39"/>
      <c r="B30" s="150"/>
      <c r="C30" s="36"/>
      <c r="D30" s="19" t="s">
        <v>48</v>
      </c>
      <c r="E30" s="19" t="s">
        <v>23</v>
      </c>
      <c r="F30" s="19" t="s">
        <v>46</v>
      </c>
      <c r="G30" s="155"/>
      <c r="H30" s="11"/>
      <c r="I30" s="11"/>
      <c r="J30" s="19" t="s">
        <v>24</v>
      </c>
      <c r="K30" s="19" t="s">
        <v>25</v>
      </c>
      <c r="L30" s="19" t="s">
        <v>26</v>
      </c>
      <c r="M30" s="50"/>
      <c r="N30" s="47"/>
      <c r="O30" s="51"/>
      <c r="P30" s="52"/>
      <c r="Q30" s="52"/>
      <c r="R30" s="52"/>
      <c r="S30" s="52"/>
      <c r="T30" s="52"/>
      <c r="U30" s="52"/>
      <c r="V30" s="47"/>
      <c r="W30" s="48"/>
      <c r="X30" s="48"/>
      <c r="Y30" s="48"/>
      <c r="Z30" s="48"/>
      <c r="AA30" s="48"/>
      <c r="AB30" s="48"/>
      <c r="AC30" s="48"/>
      <c r="AD30" s="48"/>
    </row>
    <row r="31" spans="1:30" ht="38.25" customHeight="1" x14ac:dyDescent="0.2">
      <c r="A31" s="41">
        <v>4</v>
      </c>
      <c r="B31" s="26" t="s">
        <v>21</v>
      </c>
      <c r="C31" s="20"/>
      <c r="D31" s="29">
        <f>+ccnl!$E$3</f>
        <v>43310.897499999868</v>
      </c>
      <c r="E31" s="29">
        <f>HLOOKUP(C28,O28:T38,A31,FALSE)</f>
        <v>44935.897499999861</v>
      </c>
      <c r="F31" s="29">
        <f>+E31-D31</f>
        <v>1624.9999999999927</v>
      </c>
      <c r="G31" s="42">
        <f>+F31*F29/M29</f>
        <v>1624.9999999999927</v>
      </c>
      <c r="H31" s="167" t="s">
        <v>14</v>
      </c>
      <c r="I31" s="168"/>
      <c r="J31" s="168"/>
      <c r="K31" s="168"/>
      <c r="L31" s="169"/>
      <c r="N31" s="54"/>
      <c r="O31" s="55">
        <v>43582.597499999858</v>
      </c>
      <c r="P31" s="55">
        <v>44136.397499999861</v>
      </c>
      <c r="Q31" s="55">
        <v>44935.897499999861</v>
      </c>
      <c r="R31" s="55">
        <v>44935.897499999861</v>
      </c>
      <c r="S31" s="55">
        <v>44935.897499999861</v>
      </c>
      <c r="T31" s="55">
        <v>44935.897499999861</v>
      </c>
      <c r="U31" s="55">
        <f>33423.31*13/12</f>
        <v>36208.585833333331</v>
      </c>
      <c r="V31" s="54">
        <f>+N31</f>
        <v>0</v>
      </c>
    </row>
    <row r="32" spans="1:30" ht="38.25" x14ac:dyDescent="0.2">
      <c r="A32" s="41">
        <v>5</v>
      </c>
      <c r="B32" s="26" t="s">
        <v>6</v>
      </c>
      <c r="C32" s="20"/>
      <c r="D32" s="30">
        <f>HLOOKUP(C28,IVC!$A$1:$G$10,4,TRUE)</f>
        <v>262.08</v>
      </c>
      <c r="E32" s="30">
        <f>HLOOKUP(C28,IVC!$A$1:$G$10,9,TRUE)</f>
        <v>324.87</v>
      </c>
      <c r="F32" s="30">
        <f>+E32-D32</f>
        <v>62.79000000000002</v>
      </c>
      <c r="G32" s="42">
        <f>+F32*F29/M29</f>
        <v>62.790000000000013</v>
      </c>
      <c r="H32" s="23" t="s">
        <v>15</v>
      </c>
      <c r="I32" s="25">
        <v>0.15</v>
      </c>
      <c r="J32" s="6">
        <f>+((D31+D32+D33))/13*12*I32</f>
        <v>7118.3862692307521</v>
      </c>
      <c r="K32" s="6">
        <f>+(E31+E32+E33)*12/13*I32</f>
        <v>7406.4139615384411</v>
      </c>
      <c r="L32" s="6">
        <f>+(F31+F32+F33)*12/13*I32</f>
        <v>288.02769230769127</v>
      </c>
      <c r="N32" s="54"/>
      <c r="O32" s="57">
        <f>+IVC!$B$9</f>
        <v>324.87</v>
      </c>
      <c r="P32" s="57">
        <f>+IVC!$C$9</f>
        <v>324.87</v>
      </c>
      <c r="Q32" s="57">
        <f>+IVC!$D$9</f>
        <v>324.87</v>
      </c>
      <c r="R32" s="57">
        <f>+IVC!$E$9</f>
        <v>530.08000000000004</v>
      </c>
      <c r="S32" s="57">
        <f>+IVC!$F$9</f>
        <v>628.03</v>
      </c>
      <c r="T32" s="57">
        <f>+IVC!$G$9</f>
        <v>628.03</v>
      </c>
      <c r="U32" s="58">
        <f>+IVC!$H$9</f>
        <v>303.16000000000003</v>
      </c>
      <c r="V32" s="54">
        <f t="shared" ref="V32:V39" si="14">+N32</f>
        <v>0</v>
      </c>
    </row>
    <row r="33" spans="1:30" ht="38.25" x14ac:dyDescent="0.2">
      <c r="A33" s="41">
        <v>6</v>
      </c>
      <c r="B33" s="10" t="s">
        <v>7</v>
      </c>
      <c r="C33" s="5"/>
      <c r="D33" s="29">
        <f>+ccnl!$E$5</f>
        <v>7837.59</v>
      </c>
      <c r="E33" s="29">
        <f>HLOOKUP(C28,O28:T38,A33,FALSE)</f>
        <v>8230</v>
      </c>
      <c r="F33" s="29">
        <f t="shared" ref="F33:F37" si="15">+E33-D33</f>
        <v>392.40999999999985</v>
      </c>
      <c r="G33" s="42">
        <f>+F33*F29/M29</f>
        <v>392.4099999999998</v>
      </c>
      <c r="H33" s="23" t="s">
        <v>16</v>
      </c>
      <c r="I33" s="25">
        <v>0.25</v>
      </c>
      <c r="J33" s="6">
        <f>+((D31+D32+D33))/13*12*I33</f>
        <v>11863.977115384587</v>
      </c>
      <c r="K33" s="6">
        <f>+((E31+E32+E33))/13*12*I33</f>
        <v>12344.023269230738</v>
      </c>
      <c r="L33" s="6">
        <f>+((F31+F32+F33))/13*12*I33</f>
        <v>480.04615384615215</v>
      </c>
      <c r="N33" s="59"/>
      <c r="O33" s="55">
        <f>+ccnl!$E$5</f>
        <v>7837.59</v>
      </c>
      <c r="P33" s="55">
        <f>+ccnl!$E$5</f>
        <v>7837.59</v>
      </c>
      <c r="Q33" s="55">
        <v>8230</v>
      </c>
      <c r="R33" s="55">
        <v>8230</v>
      </c>
      <c r="S33" s="55">
        <v>8230</v>
      </c>
      <c r="T33" s="55">
        <v>8230</v>
      </c>
      <c r="U33" s="55">
        <v>8230</v>
      </c>
      <c r="V33" s="59">
        <f t="shared" si="14"/>
        <v>0</v>
      </c>
    </row>
    <row r="34" spans="1:30" x14ac:dyDescent="0.2">
      <c r="A34" s="41">
        <v>7</v>
      </c>
      <c r="B34" s="10" t="s">
        <v>8</v>
      </c>
      <c r="C34" s="7" t="s">
        <v>20</v>
      </c>
      <c r="D34" s="29">
        <f>IF(C34="SI", (D31+D32)*25%,0)</f>
        <v>10893.244374999967</v>
      </c>
      <c r="E34" s="29">
        <f>IF(C34="SI", (E31+E32)*25%,0)</f>
        <v>11315.191874999966</v>
      </c>
      <c r="F34" s="29">
        <f t="shared" si="15"/>
        <v>421.9474999999984</v>
      </c>
      <c r="G34" s="42">
        <f>+F34*F29/M29</f>
        <v>421.9474999999984</v>
      </c>
      <c r="H34" s="167" t="s">
        <v>17</v>
      </c>
      <c r="I34" s="168"/>
      <c r="J34" s="168"/>
      <c r="K34" s="168"/>
      <c r="L34" s="169"/>
      <c r="N34" s="60" t="str">
        <f>C34</f>
        <v>SI</v>
      </c>
      <c r="O34" s="55">
        <f>IF(N34="SI", (O31+O32)*25%,0)</f>
        <v>10976.866874999965</v>
      </c>
      <c r="P34" s="55">
        <f>IF(N34="SI", (P31+P32)*25%,0)</f>
        <v>11115.316874999966</v>
      </c>
      <c r="Q34" s="55">
        <f>IF(N34="SI", (Q31+Q32)*25%,0)</f>
        <v>11315.191874999966</v>
      </c>
      <c r="R34" s="55">
        <f>IF(N34="SI", (R31+R32)*25%,0)</f>
        <v>11366.494374999966</v>
      </c>
      <c r="S34" s="55">
        <f>IF(N34="SI", (S31+S32)*25%,0)</f>
        <v>11390.981874999965</v>
      </c>
      <c r="T34" s="55">
        <f>IF(N34="SI", (T31+T32)*25%,0)</f>
        <v>11390.981874999965</v>
      </c>
      <c r="U34" s="55">
        <f>IF(N34="SI", (U31+U32)*25%,0)</f>
        <v>9127.9364583333336</v>
      </c>
      <c r="V34" s="60" t="str">
        <f t="shared" si="14"/>
        <v>SI</v>
      </c>
      <c r="W34" s="61">
        <f>I32</f>
        <v>0.15</v>
      </c>
      <c r="X34" s="55">
        <f>+((O31+O32+O33))/13*12*W34</f>
        <v>7164.7002692307497</v>
      </c>
      <c r="Y34" s="55">
        <f>+((P31+P32+P33))/13*12*W34</f>
        <v>7241.3802692307509</v>
      </c>
      <c r="Z34" s="55">
        <f>+((Q31+Q32+Q33))/13*12*W34</f>
        <v>7406.4139615384429</v>
      </c>
      <c r="AA34" s="55">
        <f>+((R31+R32+R33))/13*12*W34</f>
        <v>7434.827653846135</v>
      </c>
      <c r="AB34" s="55">
        <f>+((S31+S32+S33))/13*12*W34</f>
        <v>7448.3899615384416</v>
      </c>
      <c r="AC34" s="55">
        <f>+((T31+T32+T33))/13*12*W34</f>
        <v>7448.3899615384416</v>
      </c>
      <c r="AD34" s="55">
        <f>+((U31+U32+U33))/13*12*W34</f>
        <v>6195.0109615384617</v>
      </c>
    </row>
    <row r="35" spans="1:30" x14ac:dyDescent="0.2">
      <c r="A35" s="41">
        <v>8</v>
      </c>
      <c r="B35" s="10" t="s">
        <v>28</v>
      </c>
      <c r="C35" s="22">
        <f>IF(C34="SI",25%,0)</f>
        <v>0.25</v>
      </c>
      <c r="D35" s="29">
        <f>+D33*C35</f>
        <v>1959.3975</v>
      </c>
      <c r="E35" s="29">
        <f>+E33*C35</f>
        <v>2057.5</v>
      </c>
      <c r="F35" s="29">
        <f t="shared" si="15"/>
        <v>98.102499999999964</v>
      </c>
      <c r="G35" s="42">
        <f>+F35*F29/M29</f>
        <v>98.102499999999949</v>
      </c>
      <c r="H35" s="10" t="s">
        <v>18</v>
      </c>
      <c r="I35" s="20"/>
      <c r="J35" s="6">
        <f>+((D31*12/13)+D32+D33+D34+D35+D36+D38+J38)/5</f>
        <v>14625.322874999969</v>
      </c>
      <c r="K35" s="6">
        <f>+((E31*12/13)+E32+E33+E34+E35+E36+E38+J38)/5</f>
        <v>15022.270374999969</v>
      </c>
      <c r="L35" s="6">
        <f>+K35-J35</f>
        <v>396.94750000000022</v>
      </c>
      <c r="N35" s="62">
        <f>C35</f>
        <v>0.25</v>
      </c>
      <c r="O35" s="55">
        <f>+O33*N35</f>
        <v>1959.3975</v>
      </c>
      <c r="P35" s="55">
        <f>+P33*N35</f>
        <v>1959.3975</v>
      </c>
      <c r="Q35" s="55">
        <f>+Q33*N35</f>
        <v>2057.5</v>
      </c>
      <c r="R35" s="55">
        <f>+R33*N35</f>
        <v>2057.5</v>
      </c>
      <c r="S35" s="55">
        <f>+S33*N35</f>
        <v>2057.5</v>
      </c>
      <c r="T35" s="55">
        <f>+T33*N35</f>
        <v>2057.5</v>
      </c>
      <c r="U35" s="55">
        <f>+U33*N35</f>
        <v>2057.5</v>
      </c>
      <c r="V35" s="62">
        <f t="shared" si="14"/>
        <v>0.25</v>
      </c>
      <c r="W35" s="61">
        <f>I33</f>
        <v>0.25</v>
      </c>
      <c r="X35" s="63">
        <f>+((O31+O32+O33))/13*12*W35</f>
        <v>11941.167115384584</v>
      </c>
      <c r="Y35" s="55">
        <f>+((P31+P32+P33))/13*12*W35</f>
        <v>12068.967115384585</v>
      </c>
      <c r="Z35" s="55">
        <f>+((Q31+Q32+Q33))/13*12*W35</f>
        <v>12344.023269230738</v>
      </c>
      <c r="AA35" s="55">
        <f>+((R31+R32+R33))/13*12*W35</f>
        <v>12391.379423076893</v>
      </c>
      <c r="AB35" s="55">
        <f>+((S31+S32+S33))/13*12*W35</f>
        <v>12413.983269230737</v>
      </c>
      <c r="AC35" s="55">
        <f>+((T31+T32+T33))/13*12*W35</f>
        <v>12413.983269230737</v>
      </c>
      <c r="AD35" s="55">
        <f>+((U31+U32+U33))/13*12*W35</f>
        <v>10325.01826923077</v>
      </c>
    </row>
    <row r="36" spans="1:30" ht="51" x14ac:dyDescent="0.2">
      <c r="A36" s="41">
        <v>9</v>
      </c>
      <c r="B36" s="10" t="s">
        <v>27</v>
      </c>
      <c r="C36" s="8">
        <v>0.3</v>
      </c>
      <c r="D36" s="29">
        <f>IF(C34="no",C36*ccnl!$E$19,ccnl!$E$19*1.25*C36)</f>
        <v>4067.0962499999996</v>
      </c>
      <c r="E36" s="29">
        <f>IF(C34="no",C36*ccnl!$E$19,ccnl!$E$19*1.25*C36)</f>
        <v>4067.0962499999996</v>
      </c>
      <c r="F36" s="29">
        <f t="shared" si="15"/>
        <v>0</v>
      </c>
      <c r="G36" s="42">
        <f>+F36*F29/M29</f>
        <v>0</v>
      </c>
      <c r="H36" s="26" t="s">
        <v>31</v>
      </c>
      <c r="I36" s="20"/>
      <c r="J36" s="6">
        <f>+J35</f>
        <v>14625.322874999969</v>
      </c>
      <c r="K36" s="6">
        <f>+K35</f>
        <v>15022.270374999969</v>
      </c>
      <c r="L36" s="6"/>
      <c r="N36" s="62">
        <f>C36</f>
        <v>0.3</v>
      </c>
      <c r="O36" s="55">
        <f>IF(N34="no",N36*ccnl!$E$19,ccnl!$E$19*1.25*N36)</f>
        <v>4067.0962499999996</v>
      </c>
      <c r="P36" s="55">
        <f>IF(N34="no",N36*ccnl!$E$19,ccnl!$E$19*1.25*N36)</f>
        <v>4067.0962499999996</v>
      </c>
      <c r="Q36" s="55">
        <f>IF(N34="no",N36*ccnl!$E$19,ccnl!$E$19*1.25*N36)</f>
        <v>4067.0962499999996</v>
      </c>
      <c r="R36" s="55">
        <f>IF(N34="no",N36*ccnl!$E$19,ccnl!$E$19*1.25*N36)</f>
        <v>4067.0962499999996</v>
      </c>
      <c r="S36" s="55">
        <f>IF(N34="no",N36*ccnl!$E$19,ccnl!$E$19*1.25*N36)</f>
        <v>4067.0962499999996</v>
      </c>
      <c r="T36" s="55">
        <f>IF(N34="no",N36*ccnl!$E$19,ccnl!$E$19*1.25*N36)</f>
        <v>4067.0962499999996</v>
      </c>
      <c r="U36" s="55">
        <f>IF(N34="no",N36*ccnl!$E$19,ccnl!$E$19*1.25*N36)</f>
        <v>4067.0962499999996</v>
      </c>
      <c r="V36" s="62">
        <f t="shared" si="14"/>
        <v>0.3</v>
      </c>
      <c r="W36" s="54"/>
      <c r="X36" s="55">
        <f t="shared" ref="X36" si="16">+((O31*12/13)+O32+O33+O34+O35+O36+O38+X38)/5</f>
        <v>14704.765374999968</v>
      </c>
      <c r="Y36" s="55">
        <f t="shared" ref="Y36" si="17">+((P31*12/13)+P32+P33+P34+P35+P36+P38+Y38)/5</f>
        <v>14834.69537499997</v>
      </c>
      <c r="Z36" s="55">
        <f t="shared" ref="Z36" si="18">+((Q31*12/13)+Q32+Q33+Q34+Q35+Q36+Q38+Z38)/5</f>
        <v>15022.270374999969</v>
      </c>
      <c r="AA36" s="55">
        <f t="shared" ref="AA36" si="19">+((R31*12/13)+R32+R33+R34+R35+R36+R38+AA38)/5</f>
        <v>15073.572874999969</v>
      </c>
      <c r="AB36" s="55">
        <f t="shared" ref="AB36" si="20">+((S31*12/13)+S32+S33+S34+S35+S36+S38+AB38)/5</f>
        <v>15098.060374999968</v>
      </c>
      <c r="AC36" s="55">
        <f t="shared" ref="AC36" si="21">+((T31*12/13)+T32+T33+T34+T35+T36+T38+AC38)/5</f>
        <v>15098.060374999968</v>
      </c>
      <c r="AD36" s="55">
        <f t="shared" ref="AD36" si="22">+((U31*12/13)+U32+U33+U34+U35+U36+U38+AD38)/5</f>
        <v>12969.281291666668</v>
      </c>
    </row>
    <row r="37" spans="1:30" ht="38.25" x14ac:dyDescent="0.2">
      <c r="A37" s="41">
        <v>10</v>
      </c>
      <c r="B37" s="26" t="s">
        <v>36</v>
      </c>
      <c r="C37" s="8">
        <v>0.1</v>
      </c>
      <c r="D37" s="29">
        <f>(D31+D32+D33+D34+D35+D36+J36)*C37</f>
        <v>8295.5628499999802</v>
      </c>
      <c r="E37" s="29">
        <f>(E31+E32+E33+E34+E35+E36+K36+J38)*C37</f>
        <v>9095.2825999999804</v>
      </c>
      <c r="F37" s="29">
        <f t="shared" si="15"/>
        <v>799.7197500000002</v>
      </c>
      <c r="G37" s="42">
        <f>+F37*F29/M29</f>
        <v>799.71975000000009</v>
      </c>
      <c r="H37" s="167" t="s">
        <v>19</v>
      </c>
      <c r="I37" s="168"/>
      <c r="J37" s="168"/>
      <c r="K37" s="168"/>
      <c r="L37" s="169"/>
      <c r="N37" s="62">
        <f>C37</f>
        <v>0.1</v>
      </c>
      <c r="O37" s="55">
        <f>(O31+O32+O33+O34+O35+O36+X37+X38)*N37</f>
        <v>8877.0688499999796</v>
      </c>
      <c r="P37" s="55">
        <f>(P31+P32+P33+P34+P35+P36+Y37+Y38)*N37</f>
        <v>8946.29384999998</v>
      </c>
      <c r="Q37" s="55">
        <f>(Q31+Q32+Q33+Q34+Q35+Q36+Z37+Z38)*N37</f>
        <v>9095.2825999999804</v>
      </c>
      <c r="R37" s="55">
        <f>(R31+R32+R33+R34+R35+R36+AA37+AA38)*N37</f>
        <v>9120.9338499999794</v>
      </c>
      <c r="S37" s="55">
        <f>(S31+S32+S33+S34+S35+S36+AB37+AB38)*N37</f>
        <v>9133.1775999999791</v>
      </c>
      <c r="T37" s="55">
        <f>(T31+T32+T33+T34+T35+T36+AC37+AC38)*N37</f>
        <v>9133.1775999999791</v>
      </c>
      <c r="U37" s="55">
        <f>(U31+U32+U33+U34+U35+U36+AD37+AD38)*N37</f>
        <v>8001.6548916666643</v>
      </c>
      <c r="V37" s="62">
        <f t="shared" si="14"/>
        <v>0.1</v>
      </c>
      <c r="W37" s="54"/>
      <c r="X37" s="55">
        <f>+K36</f>
        <v>15022.270374999969</v>
      </c>
      <c r="Y37" s="55">
        <f>+K36</f>
        <v>15022.270374999969</v>
      </c>
      <c r="Z37" s="55">
        <f>+K36</f>
        <v>15022.270374999969</v>
      </c>
      <c r="AA37" s="55">
        <f>+K36</f>
        <v>15022.270374999969</v>
      </c>
      <c r="AB37" s="55">
        <f>+K36</f>
        <v>15022.270374999969</v>
      </c>
      <c r="AC37" s="55">
        <f>+K36</f>
        <v>15022.270374999969</v>
      </c>
      <c r="AD37" s="55">
        <f>+K36</f>
        <v>15022.270374999969</v>
      </c>
    </row>
    <row r="38" spans="1:30" ht="38.25" x14ac:dyDescent="0.2">
      <c r="A38" s="41">
        <v>11</v>
      </c>
      <c r="B38" s="10" t="s">
        <v>11</v>
      </c>
      <c r="C38" s="9">
        <v>20000</v>
      </c>
      <c r="D38" s="29">
        <f>MAX(+C38-ccnl!$E$19-D35-D36,0)</f>
        <v>3127.9162500000002</v>
      </c>
      <c r="E38" s="29">
        <f>MAX(+C38-E33-IF(E34&gt;3008,3008,E34)-E35-E36,0)</f>
        <v>2637.4037500000004</v>
      </c>
      <c r="F38" s="29">
        <f>IF((E38-D38)&gt;0,+E38-D38,0)</f>
        <v>0</v>
      </c>
      <c r="G38" s="42">
        <f>+F38*F29/M29</f>
        <v>0</v>
      </c>
      <c r="H38" s="27" t="s">
        <v>19</v>
      </c>
      <c r="I38" s="24"/>
      <c r="J38" s="147">
        <v>5000</v>
      </c>
      <c r="K38" s="148"/>
      <c r="L38" s="24"/>
      <c r="N38" s="64">
        <f>+C38</f>
        <v>20000</v>
      </c>
      <c r="O38" s="55">
        <f>MAX(+C38-O33-IF(O34&gt;3008,3008,O34)-O35-O36,0)</f>
        <v>3127.9162500000002</v>
      </c>
      <c r="P38" s="55">
        <f>MAX(+C38-P33-IF(P34&gt;3008,3008,P34)-P35-P36,0)</f>
        <v>3127.9162500000002</v>
      </c>
      <c r="Q38" s="55">
        <f>MAX(+C38-Q33-IF(Q34&gt;3008,3008,Q34)-Q35-Q36,0)</f>
        <v>2637.4037500000004</v>
      </c>
      <c r="R38" s="55">
        <f>MAX(+C38-R33-IF(R34&gt;3008,3008,R34)-R35-R36,0)</f>
        <v>2637.4037500000004</v>
      </c>
      <c r="S38" s="55">
        <f>MAX(+C38-S33-IF(S34&gt;3008,3008,S34)-S35-S36,0)</f>
        <v>2637.4037500000004</v>
      </c>
      <c r="T38" s="55">
        <f>MAX(+C38-T33-IF(T34&gt;3008,3008,T34)-T35-T36,0)</f>
        <v>2637.4037500000004</v>
      </c>
      <c r="U38" s="55">
        <f>MAX(+C38-U33-IF(U34&gt;3008,3008,U34)-U35-U36,0)</f>
        <v>2637.4037500000004</v>
      </c>
      <c r="V38" s="64">
        <f t="shared" si="14"/>
        <v>20000</v>
      </c>
      <c r="W38" s="65"/>
      <c r="X38" s="66">
        <f>J38</f>
        <v>5000</v>
      </c>
      <c r="Y38" s="66">
        <f>J38</f>
        <v>5000</v>
      </c>
      <c r="Z38" s="66">
        <f>J38</f>
        <v>5000</v>
      </c>
      <c r="AA38" s="66">
        <f>J38</f>
        <v>5000</v>
      </c>
      <c r="AB38" s="66">
        <f>J38</f>
        <v>5000</v>
      </c>
      <c r="AC38" s="66">
        <f>J38</f>
        <v>5000</v>
      </c>
      <c r="AD38" s="66">
        <f>J38</f>
        <v>5000</v>
      </c>
    </row>
    <row r="39" spans="1:30" s="16" customFormat="1" ht="21" x14ac:dyDescent="0.35">
      <c r="A39" s="40"/>
      <c r="B39" s="149" t="s">
        <v>13</v>
      </c>
      <c r="C39" s="149"/>
      <c r="D39" s="31">
        <f>SUM(D31:D38)</f>
        <v>79753.784724999816</v>
      </c>
      <c r="E39" s="31">
        <f>SUM(E31:E38)</f>
        <v>82663.241974999808</v>
      </c>
      <c r="F39" s="34">
        <f>SUM(F31:F38)</f>
        <v>3399.9697499999911</v>
      </c>
      <c r="G39" s="35">
        <f>SUM(G31:G38)</f>
        <v>3399.9697499999911</v>
      </c>
      <c r="J39" s="32"/>
      <c r="K39" s="32"/>
      <c r="M39" s="67"/>
      <c r="N39" s="68"/>
      <c r="O39" s="69">
        <f t="shared" ref="O39:U39" si="23">SUM(O31:O38)</f>
        <v>80753.403224999798</v>
      </c>
      <c r="P39" s="69">
        <f t="shared" si="23"/>
        <v>81514.878224999804</v>
      </c>
      <c r="Q39" s="69">
        <f t="shared" si="23"/>
        <v>82663.241974999808</v>
      </c>
      <c r="R39" s="69">
        <f t="shared" si="23"/>
        <v>82945.405724999815</v>
      </c>
      <c r="S39" s="69">
        <f t="shared" si="23"/>
        <v>83080.086974999809</v>
      </c>
      <c r="T39" s="69">
        <f t="shared" si="23"/>
        <v>83080.086974999809</v>
      </c>
      <c r="U39" s="69">
        <f t="shared" si="23"/>
        <v>70633.337183333337</v>
      </c>
      <c r="V39" s="68">
        <f t="shared" si="14"/>
        <v>0</v>
      </c>
      <c r="W39" s="70"/>
      <c r="X39" s="70"/>
      <c r="Y39" s="70"/>
      <c r="Z39" s="70"/>
      <c r="AA39" s="70"/>
      <c r="AB39" s="70"/>
      <c r="AC39" s="70"/>
      <c r="AD39" s="70"/>
    </row>
    <row r="41" spans="1:30" s="14" customFormat="1" ht="19.5" customHeight="1" x14ac:dyDescent="0.25">
      <c r="A41" s="39"/>
      <c r="B41" s="150" t="s">
        <v>0</v>
      </c>
      <c r="C41" s="151" t="s">
        <v>41</v>
      </c>
      <c r="D41" s="153" t="s">
        <v>47</v>
      </c>
      <c r="E41" s="33">
        <v>43466</v>
      </c>
      <c r="F41" s="33">
        <v>43708</v>
      </c>
      <c r="G41" s="155" t="s">
        <v>22</v>
      </c>
      <c r="M41" s="44">
        <v>43466</v>
      </c>
      <c r="N41" s="45">
        <v>43830</v>
      </c>
      <c r="O41" s="46">
        <v>2016</v>
      </c>
      <c r="P41" s="46">
        <v>2017</v>
      </c>
      <c r="Q41" s="46" t="s">
        <v>40</v>
      </c>
      <c r="R41" s="46" t="s">
        <v>41</v>
      </c>
      <c r="S41" s="46" t="s">
        <v>42</v>
      </c>
      <c r="T41" s="46" t="s">
        <v>44</v>
      </c>
      <c r="U41" s="46" t="s">
        <v>43</v>
      </c>
      <c r="V41" s="47"/>
      <c r="W41" s="48"/>
      <c r="X41" s="48"/>
      <c r="Y41" s="48"/>
      <c r="Z41" s="48"/>
      <c r="AA41" s="48"/>
      <c r="AB41" s="48"/>
      <c r="AC41" s="48"/>
      <c r="AD41" s="48"/>
    </row>
    <row r="42" spans="1:30" s="14" customFormat="1" ht="17.25" customHeight="1" x14ac:dyDescent="0.25">
      <c r="A42" s="39"/>
      <c r="B42" s="150"/>
      <c r="C42" s="152"/>
      <c r="D42" s="154"/>
      <c r="E42" s="37" t="s">
        <v>45</v>
      </c>
      <c r="F42" s="21">
        <f>+F41-E41+1</f>
        <v>243</v>
      </c>
      <c r="G42" s="155"/>
      <c r="M42" s="49">
        <f>_xlfn.DAYS(N41,M41)+1</f>
        <v>365</v>
      </c>
      <c r="N42" s="47"/>
      <c r="O42" s="46"/>
      <c r="P42" s="46"/>
      <c r="Q42" s="46"/>
      <c r="R42" s="46"/>
      <c r="S42" s="46"/>
      <c r="T42" s="46"/>
      <c r="U42" s="46"/>
      <c r="V42" s="47"/>
      <c r="W42" s="48"/>
      <c r="X42" s="48"/>
      <c r="Y42" s="48"/>
      <c r="Z42" s="48"/>
      <c r="AA42" s="48"/>
      <c r="AB42" s="48"/>
      <c r="AC42" s="48"/>
      <c r="AD42" s="48"/>
    </row>
    <row r="43" spans="1:30" s="14" customFormat="1" ht="15" customHeight="1" x14ac:dyDescent="0.25">
      <c r="A43" s="39"/>
      <c r="B43" s="150"/>
      <c r="C43" s="36"/>
      <c r="D43" s="19" t="s">
        <v>48</v>
      </c>
      <c r="E43" s="19" t="s">
        <v>23</v>
      </c>
      <c r="F43" s="19" t="s">
        <v>46</v>
      </c>
      <c r="G43" s="155"/>
      <c r="H43" s="11"/>
      <c r="I43" s="11"/>
      <c r="J43" s="19" t="s">
        <v>24</v>
      </c>
      <c r="K43" s="19" t="s">
        <v>25</v>
      </c>
      <c r="L43" s="19" t="s">
        <v>26</v>
      </c>
      <c r="M43" s="50"/>
      <c r="N43" s="47"/>
      <c r="O43" s="51"/>
      <c r="P43" s="52"/>
      <c r="Q43" s="52"/>
      <c r="R43" s="52"/>
      <c r="S43" s="52"/>
      <c r="T43" s="52"/>
      <c r="U43" s="52"/>
      <c r="V43" s="47"/>
      <c r="W43" s="48"/>
      <c r="X43" s="48"/>
      <c r="Y43" s="48"/>
      <c r="Z43" s="48"/>
      <c r="AA43" s="48"/>
      <c r="AB43" s="48"/>
      <c r="AC43" s="48"/>
      <c r="AD43" s="48"/>
    </row>
    <row r="44" spans="1:30" ht="38.25" customHeight="1" x14ac:dyDescent="0.2">
      <c r="A44" s="41">
        <v>4</v>
      </c>
      <c r="B44" s="26" t="s">
        <v>21</v>
      </c>
      <c r="C44" s="20"/>
      <c r="D44" s="29">
        <f>+ccnl!$E$3</f>
        <v>43310.897499999868</v>
      </c>
      <c r="E44" s="29">
        <f>HLOOKUP(C41,O41:T51,A44,TRUE)</f>
        <v>44935.897499999861</v>
      </c>
      <c r="F44" s="29">
        <f>+E44-D44</f>
        <v>1624.9999999999927</v>
      </c>
      <c r="G44" s="42">
        <f>+F44*F42/M42</f>
        <v>1081.8493150684883</v>
      </c>
      <c r="H44" s="167" t="s">
        <v>14</v>
      </c>
      <c r="I44" s="168"/>
      <c r="J44" s="168"/>
      <c r="K44" s="168"/>
      <c r="L44" s="169"/>
      <c r="N44" s="54"/>
      <c r="O44" s="55">
        <v>43582.597499999858</v>
      </c>
      <c r="P44" s="55">
        <v>44136.397499999861</v>
      </c>
      <c r="Q44" s="55">
        <v>44935.897499999861</v>
      </c>
      <c r="R44" s="55">
        <v>44935.897499999861</v>
      </c>
      <c r="S44" s="55">
        <v>44935.897499999861</v>
      </c>
      <c r="T44" s="55">
        <v>44935.897499999861</v>
      </c>
      <c r="U44" s="55">
        <f>33423.31*13/12</f>
        <v>36208.585833333331</v>
      </c>
      <c r="V44" s="54">
        <f>+N44</f>
        <v>0</v>
      </c>
    </row>
    <row r="45" spans="1:30" ht="38.25" x14ac:dyDescent="0.2">
      <c r="A45" s="41">
        <v>5</v>
      </c>
      <c r="B45" s="26" t="s">
        <v>6</v>
      </c>
      <c r="C45" s="20"/>
      <c r="D45" s="30">
        <f>HLOOKUP(C41,IVC!$A$1:$G$10,4,TRUE)</f>
        <v>565.24</v>
      </c>
      <c r="E45" s="30">
        <f>HLOOKUP(C41,IVC!$A$1:$G$10,9,TRUE)</f>
        <v>628.03</v>
      </c>
      <c r="F45" s="30">
        <f>+E45-D45</f>
        <v>62.789999999999964</v>
      </c>
      <c r="G45" s="42">
        <f>+F45*F42/M42</f>
        <v>41.802657534246549</v>
      </c>
      <c r="H45" s="23" t="s">
        <v>15</v>
      </c>
      <c r="I45" s="25">
        <v>0.15</v>
      </c>
      <c r="J45" s="6">
        <f>+((D44+D45+D46))/13*12*I45</f>
        <v>7160.3622692307499</v>
      </c>
      <c r="K45" s="6">
        <f>+(E44+E45+E46)*12/13*I45</f>
        <v>7448.3899615384407</v>
      </c>
      <c r="L45" s="6">
        <f>+(F44+F45+F46)*12/13*I45</f>
        <v>288.02769230769127</v>
      </c>
      <c r="N45" s="54"/>
      <c r="O45" s="57">
        <f>+IVC!$B$9</f>
        <v>324.87</v>
      </c>
      <c r="P45" s="57">
        <f>+IVC!$C$9</f>
        <v>324.87</v>
      </c>
      <c r="Q45" s="57">
        <f>+IVC!$D$9</f>
        <v>324.87</v>
      </c>
      <c r="R45" s="57">
        <f>+IVC!$E$9</f>
        <v>530.08000000000004</v>
      </c>
      <c r="S45" s="57">
        <f>+IVC!$F$9</f>
        <v>628.03</v>
      </c>
      <c r="T45" s="57">
        <f>+IVC!$G$9</f>
        <v>628.03</v>
      </c>
      <c r="U45" s="58">
        <f>+IVC!$H$9</f>
        <v>303.16000000000003</v>
      </c>
      <c r="V45" s="54">
        <f t="shared" ref="V45:V52" si="24">+N45</f>
        <v>0</v>
      </c>
    </row>
    <row r="46" spans="1:30" ht="38.25" x14ac:dyDescent="0.2">
      <c r="A46" s="41">
        <v>6</v>
      </c>
      <c r="B46" s="10" t="s">
        <v>7</v>
      </c>
      <c r="C46" s="5"/>
      <c r="D46" s="29">
        <f>+ccnl!$E$5</f>
        <v>7837.59</v>
      </c>
      <c r="E46" s="29">
        <f>HLOOKUP(C41,O41:T51,A46,TRUE)</f>
        <v>8230</v>
      </c>
      <c r="F46" s="29">
        <f t="shared" ref="F46:F50" si="25">+E46-D46</f>
        <v>392.40999999999985</v>
      </c>
      <c r="G46" s="42">
        <f>+F46*F42/M42</f>
        <v>261.24830136986293</v>
      </c>
      <c r="H46" s="23" t="s">
        <v>16</v>
      </c>
      <c r="I46" s="25">
        <v>0.25</v>
      </c>
      <c r="J46" s="6">
        <f>+((D44+D45+D46))/13*12*I46</f>
        <v>11933.937115384584</v>
      </c>
      <c r="K46" s="6">
        <f>+((E44+E45+E46))/13*12*I46</f>
        <v>12413.983269230737</v>
      </c>
      <c r="L46" s="6">
        <f>+((F44+F45+F46))/13*12*I46</f>
        <v>480.04615384615215</v>
      </c>
      <c r="N46" s="59"/>
      <c r="O46" s="55">
        <f>+ccnl!$E$5</f>
        <v>7837.59</v>
      </c>
      <c r="P46" s="55">
        <f>+ccnl!$E$5</f>
        <v>7837.59</v>
      </c>
      <c r="Q46" s="55">
        <v>8230</v>
      </c>
      <c r="R46" s="55">
        <v>8230</v>
      </c>
      <c r="S46" s="55">
        <v>8230</v>
      </c>
      <c r="T46" s="55">
        <v>8230</v>
      </c>
      <c r="U46" s="55">
        <v>8230</v>
      </c>
      <c r="V46" s="59">
        <f t="shared" si="24"/>
        <v>0</v>
      </c>
    </row>
    <row r="47" spans="1:30" x14ac:dyDescent="0.2">
      <c r="A47" s="41">
        <v>7</v>
      </c>
      <c r="B47" s="10" t="s">
        <v>8</v>
      </c>
      <c r="C47" s="7" t="s">
        <v>20</v>
      </c>
      <c r="D47" s="29">
        <f>IF(C47="SI", (D44+D45)*25%,0)</f>
        <v>10969.034374999967</v>
      </c>
      <c r="E47" s="29">
        <f>IF(C47="SI", (E44+E45)*25%,0)</f>
        <v>11390.981874999965</v>
      </c>
      <c r="F47" s="29">
        <f t="shared" si="25"/>
        <v>421.9474999999984</v>
      </c>
      <c r="G47" s="42">
        <f>+F47*F42/M42</f>
        <v>280.91299315068386</v>
      </c>
      <c r="H47" s="167" t="s">
        <v>17</v>
      </c>
      <c r="I47" s="168"/>
      <c r="J47" s="168"/>
      <c r="K47" s="168"/>
      <c r="L47" s="169"/>
      <c r="N47" s="60" t="str">
        <f>C47</f>
        <v>SI</v>
      </c>
      <c r="O47" s="55">
        <f>IF(N47="SI", (O44+O45)*25%,0)</f>
        <v>10976.866874999965</v>
      </c>
      <c r="P47" s="55">
        <f>IF(N47="SI", (P44+P45)*25%,0)</f>
        <v>11115.316874999966</v>
      </c>
      <c r="Q47" s="55">
        <f>IF(N47="SI", (Q44+Q45)*25%,0)</f>
        <v>11315.191874999966</v>
      </c>
      <c r="R47" s="55">
        <f>IF(N47="SI", (R44+R45)*25%,0)</f>
        <v>11366.494374999966</v>
      </c>
      <c r="S47" s="55">
        <f>IF(N47="SI", (S44+S45)*25%,0)</f>
        <v>11390.981874999965</v>
      </c>
      <c r="T47" s="55">
        <f>IF(N47="SI", (T44+T45)*25%,0)</f>
        <v>11390.981874999965</v>
      </c>
      <c r="U47" s="55">
        <f>IF(N47="SI", (U44+U45)*25%,0)</f>
        <v>9127.9364583333336</v>
      </c>
      <c r="V47" s="60" t="str">
        <f t="shared" si="24"/>
        <v>SI</v>
      </c>
      <c r="W47" s="61">
        <f>I45</f>
        <v>0.15</v>
      </c>
      <c r="X47" s="55">
        <f>+((O44+O45+O46))/13*12*W47</f>
        <v>7164.7002692307497</v>
      </c>
      <c r="Y47" s="55">
        <f>+((P44+P45+P46))/13*12*W47</f>
        <v>7241.3802692307509</v>
      </c>
      <c r="Z47" s="55">
        <f>+((Q44+Q45+Q46))/13*12*W47</f>
        <v>7406.4139615384429</v>
      </c>
      <c r="AA47" s="55">
        <f>+((R44+R45+R46))/13*12*W47</f>
        <v>7434.827653846135</v>
      </c>
      <c r="AB47" s="55">
        <f>+((S44+S45+S46))/13*12*W47</f>
        <v>7448.3899615384416</v>
      </c>
      <c r="AC47" s="55">
        <f>+((T44+T45+T46))/13*12*W47</f>
        <v>7448.3899615384416</v>
      </c>
      <c r="AD47" s="55">
        <f>+((U44+U45+U46))/13*12*W47</f>
        <v>6195.0109615384617</v>
      </c>
    </row>
    <row r="48" spans="1:30" x14ac:dyDescent="0.2">
      <c r="A48" s="41">
        <v>8</v>
      </c>
      <c r="B48" s="10" t="s">
        <v>28</v>
      </c>
      <c r="C48" s="22">
        <f>IF(C47="SI",25%,0)</f>
        <v>0.25</v>
      </c>
      <c r="D48" s="29">
        <f>+D46*C48</f>
        <v>1959.3975</v>
      </c>
      <c r="E48" s="29">
        <f>+E46*C48</f>
        <v>2057.5</v>
      </c>
      <c r="F48" s="29">
        <f t="shared" si="25"/>
        <v>98.102499999999964</v>
      </c>
      <c r="G48" s="42">
        <f>+F48*F42/M42</f>
        <v>65.312075342465732</v>
      </c>
      <c r="H48" s="10" t="s">
        <v>18</v>
      </c>
      <c r="I48" s="20"/>
      <c r="J48" s="6">
        <f>+((D44*12/13)+D45+D46+D47+D48+D49+D51+J51)/5</f>
        <v>14701.112874999968</v>
      </c>
      <c r="K48" s="6">
        <f>+((E44*12/13)+E45+E46+E47+E48+E49+E51+J51)/5</f>
        <v>15098.060374999968</v>
      </c>
      <c r="L48" s="6">
        <f>+K48-J48</f>
        <v>396.94750000000022</v>
      </c>
      <c r="N48" s="62">
        <f>C48</f>
        <v>0.25</v>
      </c>
      <c r="O48" s="55">
        <f>+O46*N48</f>
        <v>1959.3975</v>
      </c>
      <c r="P48" s="55">
        <f>+P46*N48</f>
        <v>1959.3975</v>
      </c>
      <c r="Q48" s="55">
        <f>+Q46*N48</f>
        <v>2057.5</v>
      </c>
      <c r="R48" s="55">
        <f>+R46*N48</f>
        <v>2057.5</v>
      </c>
      <c r="S48" s="55">
        <f>+S46*N48</f>
        <v>2057.5</v>
      </c>
      <c r="T48" s="55">
        <f>+T46*N48</f>
        <v>2057.5</v>
      </c>
      <c r="U48" s="55">
        <f>+U46*N48</f>
        <v>2057.5</v>
      </c>
      <c r="V48" s="62">
        <f t="shared" si="24"/>
        <v>0.25</v>
      </c>
      <c r="W48" s="61">
        <f>I46</f>
        <v>0.25</v>
      </c>
      <c r="X48" s="63">
        <f>+((O44+O45+O46))/13*12*W48</f>
        <v>11941.167115384584</v>
      </c>
      <c r="Y48" s="55">
        <f>+((P44+P45+P46))/13*12*W48</f>
        <v>12068.967115384585</v>
      </c>
      <c r="Z48" s="55">
        <f>+((Q44+Q45+Q46))/13*12*W48</f>
        <v>12344.023269230738</v>
      </c>
      <c r="AA48" s="55">
        <f>+((R44+R45+R46))/13*12*W48</f>
        <v>12391.379423076893</v>
      </c>
      <c r="AB48" s="55">
        <f>+((S44+S45+S46))/13*12*W48</f>
        <v>12413.983269230737</v>
      </c>
      <c r="AC48" s="55">
        <f>+((T44+T45+T46))/13*12*W48</f>
        <v>12413.983269230737</v>
      </c>
      <c r="AD48" s="55">
        <f>+((U44+U45+U46))/13*12*W48</f>
        <v>10325.01826923077</v>
      </c>
    </row>
    <row r="49" spans="1:30" ht="51" x14ac:dyDescent="0.2">
      <c r="A49" s="41">
        <v>9</v>
      </c>
      <c r="B49" s="10" t="s">
        <v>27</v>
      </c>
      <c r="C49" s="8">
        <v>0.3</v>
      </c>
      <c r="D49" s="29">
        <f>IF(C47="no",C49*ccnl!$E$19,ccnl!$E$19*1.25*C49)</f>
        <v>4067.0962499999996</v>
      </c>
      <c r="E49" s="29">
        <f>IF(C47="no",C49*ccnl!$E$19,ccnl!$E$19*1.25*C49)</f>
        <v>4067.0962499999996</v>
      </c>
      <c r="F49" s="29">
        <f t="shared" si="25"/>
        <v>0</v>
      </c>
      <c r="G49" s="42">
        <f>+F49*F42/M42</f>
        <v>0</v>
      </c>
      <c r="H49" s="26" t="s">
        <v>31</v>
      </c>
      <c r="I49" s="20"/>
      <c r="J49" s="6">
        <f>+J48</f>
        <v>14701.112874999968</v>
      </c>
      <c r="K49" s="6">
        <f>+K48</f>
        <v>15098.060374999968</v>
      </c>
      <c r="L49" s="6"/>
      <c r="N49" s="62">
        <f>C49</f>
        <v>0.3</v>
      </c>
      <c r="O49" s="55">
        <f>IF(N47="no",N49*ccnl!$E$19,ccnl!$E$19*1.25*N49)</f>
        <v>4067.0962499999996</v>
      </c>
      <c r="P49" s="55">
        <f>IF(N47="no",N49*ccnl!$E$19,ccnl!$E$19*1.25*N49)</f>
        <v>4067.0962499999996</v>
      </c>
      <c r="Q49" s="55">
        <f>IF(N47="no",N49*ccnl!$E$19,ccnl!$E$19*1.25*N49)</f>
        <v>4067.0962499999996</v>
      </c>
      <c r="R49" s="55">
        <f>IF(N47="no",N49*ccnl!$E$19,ccnl!$E$19*1.25*N49)</f>
        <v>4067.0962499999996</v>
      </c>
      <c r="S49" s="55">
        <f>IF(N47="no",N49*ccnl!$E$19,ccnl!$E$19*1.25*N49)</f>
        <v>4067.0962499999996</v>
      </c>
      <c r="T49" s="55">
        <f>IF(N47="no",N49*ccnl!$E$19,ccnl!$E$19*1.25*N49)</f>
        <v>4067.0962499999996</v>
      </c>
      <c r="U49" s="55">
        <f>IF(N47="no",N49*ccnl!$E$19,ccnl!$E$19*1.25*N49)</f>
        <v>4067.0962499999996</v>
      </c>
      <c r="V49" s="62">
        <f t="shared" si="24"/>
        <v>0.3</v>
      </c>
      <c r="W49" s="54"/>
      <c r="X49" s="55">
        <f t="shared" ref="X49" si="26">+((O44*12/13)+O45+O46+O47+O48+O49+O51+X51)/5</f>
        <v>14704.765374999968</v>
      </c>
      <c r="Y49" s="55">
        <f t="shared" ref="Y49" si="27">+((P44*12/13)+P45+P46+P47+P48+P49+P51+Y51)/5</f>
        <v>14834.69537499997</v>
      </c>
      <c r="Z49" s="55">
        <f t="shared" ref="Z49" si="28">+((Q44*12/13)+Q45+Q46+Q47+Q48+Q49+Q51+Z51)/5</f>
        <v>15022.270374999969</v>
      </c>
      <c r="AA49" s="55">
        <f t="shared" ref="AA49" si="29">+((R44*12/13)+R45+R46+R47+R48+R49+R51+AA51)/5</f>
        <v>15073.572874999969</v>
      </c>
      <c r="AB49" s="55">
        <f t="shared" ref="AB49" si="30">+((S44*12/13)+S45+S46+S47+S48+S49+S51+AB51)/5</f>
        <v>15098.060374999968</v>
      </c>
      <c r="AC49" s="55">
        <f t="shared" ref="AC49" si="31">+((T44*12/13)+T45+T46+T47+T48+T49+T51+AC51)/5</f>
        <v>15098.060374999968</v>
      </c>
      <c r="AD49" s="55">
        <f t="shared" ref="AD49" si="32">+((U44*12/13)+U45+U46+U47+U48+U49+U51+AD51)/5</f>
        <v>12969.281291666668</v>
      </c>
    </row>
    <row r="50" spans="1:30" ht="38.25" x14ac:dyDescent="0.2">
      <c r="A50" s="41">
        <v>10</v>
      </c>
      <c r="B50" s="26" t="s">
        <v>36</v>
      </c>
      <c r="C50" s="8">
        <v>0.1</v>
      </c>
      <c r="D50" s="29">
        <f>(D44+D45+D46+D47+D48+D49+J49)*C50</f>
        <v>8341.0368499999804</v>
      </c>
      <c r="E50" s="29">
        <f>(E44+E45+E46+E47+E48+E49+K49+J51)*C50</f>
        <v>9140.7565999999806</v>
      </c>
      <c r="F50" s="29">
        <f t="shared" si="25"/>
        <v>799.7197500000002</v>
      </c>
      <c r="G50" s="42">
        <f>+F50*F42/M42</f>
        <v>532.4161623287672</v>
      </c>
      <c r="H50" s="167" t="s">
        <v>19</v>
      </c>
      <c r="I50" s="168"/>
      <c r="J50" s="168"/>
      <c r="K50" s="168"/>
      <c r="L50" s="169"/>
      <c r="N50" s="62">
        <f>C50</f>
        <v>0.1</v>
      </c>
      <c r="O50" s="55">
        <f>(O44+O45+O46+O47+O48+O49+X50+X51)*N50</f>
        <v>8884.6478499999794</v>
      </c>
      <c r="P50" s="55">
        <f>(P44+P45+P46+P47+P48+P49+Y50+Y51)*N50</f>
        <v>8953.8728499999816</v>
      </c>
      <c r="Q50" s="55">
        <f>(Q44+Q45+Q46+Q47+Q48+Q49+Z50+Z51)*N50</f>
        <v>9102.8615999999802</v>
      </c>
      <c r="R50" s="55">
        <f>(R44+R45+R46+R47+R48+R49+AA50+AA51)*N50</f>
        <v>9128.512849999981</v>
      </c>
      <c r="S50" s="55">
        <f>(S44+S45+S46+S47+S48+S49+AB50+AB51)*N50</f>
        <v>9140.7565999999806</v>
      </c>
      <c r="T50" s="55">
        <f>(T44+T45+T46+T47+T48+T49+AC50+AC51)*N50</f>
        <v>9140.7565999999806</v>
      </c>
      <c r="U50" s="55">
        <f>(U44+U45+U46+U47+U48+U49+AD50+AD51)*N50</f>
        <v>8009.2338916666649</v>
      </c>
      <c r="V50" s="62">
        <f t="shared" si="24"/>
        <v>0.1</v>
      </c>
      <c r="W50" s="54"/>
      <c r="X50" s="55">
        <f>+K49</f>
        <v>15098.060374999968</v>
      </c>
      <c r="Y50" s="55">
        <f>+K49</f>
        <v>15098.060374999968</v>
      </c>
      <c r="Z50" s="55">
        <f>+K49</f>
        <v>15098.060374999968</v>
      </c>
      <c r="AA50" s="55">
        <f>+K49</f>
        <v>15098.060374999968</v>
      </c>
      <c r="AB50" s="55">
        <f>+K49</f>
        <v>15098.060374999968</v>
      </c>
      <c r="AC50" s="55">
        <f>+K49</f>
        <v>15098.060374999968</v>
      </c>
      <c r="AD50" s="55">
        <f>+K49</f>
        <v>15098.060374999968</v>
      </c>
    </row>
    <row r="51" spans="1:30" ht="38.25" x14ac:dyDescent="0.2">
      <c r="A51" s="41">
        <v>11</v>
      </c>
      <c r="B51" s="10" t="s">
        <v>11</v>
      </c>
      <c r="C51" s="9">
        <v>20000</v>
      </c>
      <c r="D51" s="29">
        <f>MAX(+C51-ccnl!$E$19-D48-D49,0)</f>
        <v>3127.9162500000002</v>
      </c>
      <c r="E51" s="29">
        <f>MAX(+C51-E46-IF(E47&gt;3008,3008,E47)-E48-E49,0)</f>
        <v>2637.4037500000004</v>
      </c>
      <c r="F51" s="29">
        <f>IF((E51-D51)&gt;0,+E51-D51,0)</f>
        <v>0</v>
      </c>
      <c r="G51" s="42">
        <f>+F51*F42/M42</f>
        <v>0</v>
      </c>
      <c r="H51" s="27" t="s">
        <v>19</v>
      </c>
      <c r="I51" s="24"/>
      <c r="J51" s="147">
        <v>5000</v>
      </c>
      <c r="K51" s="148"/>
      <c r="L51" s="24"/>
      <c r="N51" s="64">
        <f>+C51</f>
        <v>20000</v>
      </c>
      <c r="O51" s="55">
        <f>MAX(+C51-O46-IF(O47&gt;3008,3008,O47)-O48-O49,0)</f>
        <v>3127.9162500000002</v>
      </c>
      <c r="P51" s="55">
        <f>MAX(+C51-P46-IF(P47&gt;3008,3008,P47)-P48-P49,0)</f>
        <v>3127.9162500000002</v>
      </c>
      <c r="Q51" s="55">
        <f>MAX(+C51-Q46-IF(Q47&gt;3008,3008,Q47)-Q48-Q49,0)</f>
        <v>2637.4037500000004</v>
      </c>
      <c r="R51" s="55">
        <f>MAX(+C51-R46-IF(R47&gt;3008,3008,R47)-R48-R49,0)</f>
        <v>2637.4037500000004</v>
      </c>
      <c r="S51" s="55">
        <f>MAX(+C51-S46-IF(S47&gt;3008,3008,S47)-S48-S49,0)</f>
        <v>2637.4037500000004</v>
      </c>
      <c r="T51" s="55">
        <f>MAX(+C51-T46-IF(T47&gt;3008,3008,T47)-T48-T49,0)</f>
        <v>2637.4037500000004</v>
      </c>
      <c r="U51" s="55">
        <f>MAX(+C51-U46-IF(U47&gt;3008,3008,U47)-U48-U49,0)</f>
        <v>2637.4037500000004</v>
      </c>
      <c r="V51" s="64">
        <f t="shared" si="24"/>
        <v>20000</v>
      </c>
      <c r="W51" s="65"/>
      <c r="X51" s="66">
        <f>J51</f>
        <v>5000</v>
      </c>
      <c r="Y51" s="66">
        <f>J51</f>
        <v>5000</v>
      </c>
      <c r="Z51" s="66">
        <f>J51</f>
        <v>5000</v>
      </c>
      <c r="AA51" s="66">
        <f>J51</f>
        <v>5000</v>
      </c>
      <c r="AB51" s="66">
        <f>J51</f>
        <v>5000</v>
      </c>
      <c r="AC51" s="66">
        <f>J51</f>
        <v>5000</v>
      </c>
      <c r="AD51" s="66">
        <f>J51</f>
        <v>5000</v>
      </c>
    </row>
    <row r="52" spans="1:30" s="16" customFormat="1" ht="21" x14ac:dyDescent="0.35">
      <c r="A52" s="40"/>
      <c r="B52" s="149" t="s">
        <v>13</v>
      </c>
      <c r="C52" s="149"/>
      <c r="D52" s="31">
        <f>SUM(D44:D51)</f>
        <v>80178.2087249998</v>
      </c>
      <c r="E52" s="31">
        <f>SUM(E44:E51)</f>
        <v>83087.665974999807</v>
      </c>
      <c r="F52" s="34">
        <f>SUM(F44:F51)</f>
        <v>3399.9697499999911</v>
      </c>
      <c r="G52" s="35">
        <f>SUM(G44:G51)</f>
        <v>2263.5415047945144</v>
      </c>
      <c r="J52" s="32"/>
      <c r="K52" s="32"/>
      <c r="M52" s="67"/>
      <c r="N52" s="68"/>
      <c r="O52" s="69">
        <f t="shared" ref="O52:U52" si="33">SUM(O44:O51)</f>
        <v>80760.982224999796</v>
      </c>
      <c r="P52" s="69">
        <f t="shared" si="33"/>
        <v>81522.457224999816</v>
      </c>
      <c r="Q52" s="69">
        <f t="shared" si="33"/>
        <v>82670.820974999806</v>
      </c>
      <c r="R52" s="69">
        <f t="shared" si="33"/>
        <v>82952.984724999813</v>
      </c>
      <c r="S52" s="69">
        <f t="shared" si="33"/>
        <v>83087.665974999807</v>
      </c>
      <c r="T52" s="69">
        <f t="shared" si="33"/>
        <v>83087.665974999807</v>
      </c>
      <c r="U52" s="69">
        <f t="shared" si="33"/>
        <v>70640.916183333335</v>
      </c>
      <c r="V52" s="68">
        <f t="shared" si="24"/>
        <v>0</v>
      </c>
      <c r="W52" s="70"/>
      <c r="X52" s="70"/>
      <c r="Y52" s="70"/>
      <c r="Z52" s="70"/>
      <c r="AA52" s="70"/>
      <c r="AB52" s="70"/>
      <c r="AC52" s="70"/>
      <c r="AD52" s="70"/>
    </row>
  </sheetData>
  <mergeCells count="36">
    <mergeCell ref="H31:L31"/>
    <mergeCell ref="C2:C3"/>
    <mergeCell ref="D2:D3"/>
    <mergeCell ref="B2:B4"/>
    <mergeCell ref="B13:C13"/>
    <mergeCell ref="G2:G4"/>
    <mergeCell ref="H5:L5"/>
    <mergeCell ref="H8:L8"/>
    <mergeCell ref="H11:L11"/>
    <mergeCell ref="J12:K12"/>
    <mergeCell ref="B15:B17"/>
    <mergeCell ref="C15:C16"/>
    <mergeCell ref="D15:D16"/>
    <mergeCell ref="G15:G17"/>
    <mergeCell ref="H18:L18"/>
    <mergeCell ref="H21:L21"/>
    <mergeCell ref="H24:L24"/>
    <mergeCell ref="J25:K25"/>
    <mergeCell ref="B26:C26"/>
    <mergeCell ref="B28:B30"/>
    <mergeCell ref="C28:C29"/>
    <mergeCell ref="D28:D29"/>
    <mergeCell ref="G28:G30"/>
    <mergeCell ref="H34:L34"/>
    <mergeCell ref="H37:L37"/>
    <mergeCell ref="J38:K38"/>
    <mergeCell ref="B39:C39"/>
    <mergeCell ref="B41:B43"/>
    <mergeCell ref="C41:C42"/>
    <mergeCell ref="D41:D42"/>
    <mergeCell ref="G41:G43"/>
    <mergeCell ref="H44:L44"/>
    <mergeCell ref="H47:L47"/>
    <mergeCell ref="H50:L50"/>
    <mergeCell ref="J51:K51"/>
    <mergeCell ref="B52:C52"/>
  </mergeCells>
  <phoneticPr fontId="26" type="noConversion"/>
  <dataValidations count="8">
    <dataValidation type="list" allowBlank="1" showInputMessage="1" showErrorMessage="1" sqref="C8 V8:V9 N8 C21 V21:V22 N21 C34 V34:V35 N34 C47 V47:V48 N47">
      <formula1>"SI,NO"</formula1>
    </dataValidation>
    <dataValidation type="list" allowBlank="1" sqref="C10 N10 V10 C23 N23 V23 C36 N36 V36 C49 N49 V49">
      <formula1>"30%, 50%"</formula1>
    </dataValidation>
    <dataValidation type="list" allowBlank="1" sqref="C11 N11 V11 C24 N24 V24 C37 N37 V37 C50 N50 V50">
      <formula1>"0%,1%,2%,3%,4%,5%,6%,7%,8%,9%,10%"</formula1>
    </dataValidation>
    <dataValidation allowBlank="1" showInputMessage="1" promptTitle="Inserisci il periodo" sqref="D4:F4 J4:L4 C2 D17:F17 J17:L17 C15 D30:F30 J30:L30 C28 D43:F43 J43:L43 C41"/>
    <dataValidation allowBlank="1" sqref="N9 V9 I6:I7 N22 V22 I19:I20 N35 V35 I32:I33 N48 V48 I45:I46"/>
    <dataValidation type="date" allowBlank="1" showInputMessage="1" showErrorMessage="1" errorTitle="Data incongruente" error="Inserisci una data compresa nell'anno di riferimento" sqref="E16:F16 E3:F3 E29:F29 E42:F42">
      <formula1>42370</formula1>
      <formula2>42735</formula2>
    </dataValidation>
    <dataValidation type="date" allowBlank="1" showInputMessage="1" showErrorMessage="1" errorTitle="Data incongruente" error="Inserisci una data compresa nell'anno di riferimento" sqref="E15 E2 E28 E41">
      <formula1>M2</formula1>
      <formula2>N2</formula2>
    </dataValidation>
    <dataValidation type="date" allowBlank="1" showInputMessage="1" showErrorMessage="1" errorTitle="Data incongruente" error="Inserisci una data compresa nell'anno di riferimento" sqref="F15 F2 F28 F41">
      <formula1>M2</formula1>
      <formula2>N2</formula2>
    </dataValidation>
  </dataValidations>
  <pageMargins left="0.39370078740157483" right="0.70866141732283472" top="0.74803149606299213" bottom="0.15748031496062992" header="7.874015748031496E-2" footer="0.31496062992125984"/>
  <pageSetup paperSize="9" scale="76" orientation="landscape" r:id="rId1"/>
  <headerFooter>
    <oddHeader xml:space="preserve">&amp;C&amp;"-,Grassetto"&amp;14CALCOLO ARRETRATI SEGRETARIO COMUNALE &amp;A
</oddHeader>
    <oddFooter>&amp;CGrafiche E.Gaspari
850300.7.e.c</oddFooter>
  </headerFooter>
  <rowBreaks count="4" manualBreakCount="4">
    <brk id="13" max="16383" man="1"/>
    <brk id="26" max="16383" man="1"/>
    <brk id="39" max="16383" man="1"/>
    <brk id="52" max="11" man="1"/>
  </rowBreaks>
  <ignoredErrors>
    <ignoredError sqref="C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zoomScaleNormal="100" workbookViewId="0">
      <selection activeCell="C26" sqref="C26"/>
    </sheetView>
  </sheetViews>
  <sheetFormatPr defaultRowHeight="15" x14ac:dyDescent="0.25"/>
  <cols>
    <col min="1" max="1" width="4.140625" style="144" customWidth="1"/>
    <col min="2" max="2" width="22" style="141" customWidth="1"/>
    <col min="3" max="3" width="11.42578125" style="144" customWidth="1"/>
    <col min="4" max="6" width="15.5703125" style="146" bestFit="1" customWidth="1"/>
    <col min="7" max="7" width="17.28515625" style="146" bestFit="1" customWidth="1"/>
    <col min="8" max="9" width="17.140625" style="146" bestFit="1" customWidth="1"/>
    <col min="10" max="10" width="9.140625" style="140"/>
    <col min="11" max="16384" width="9.140625" style="141"/>
  </cols>
  <sheetData>
    <row r="1" spans="1:10" s="83" customFormat="1" ht="60.75" customHeight="1" thickBot="1" x14ac:dyDescent="0.3">
      <c r="A1" s="125"/>
      <c r="B1" s="126"/>
      <c r="D1" s="127" t="s">
        <v>1</v>
      </c>
      <c r="E1" s="127" t="s">
        <v>30</v>
      </c>
      <c r="F1" s="127" t="s">
        <v>2</v>
      </c>
      <c r="G1" s="127" t="s">
        <v>3</v>
      </c>
      <c r="H1" s="127" t="s">
        <v>4</v>
      </c>
      <c r="I1" s="128" t="s">
        <v>5</v>
      </c>
      <c r="J1" s="82"/>
    </row>
    <row r="2" spans="1:10" s="85" customFormat="1" ht="1.5" customHeight="1" thickBot="1" x14ac:dyDescent="0.3">
      <c r="A2" s="129"/>
      <c r="B2" s="130"/>
      <c r="C2" s="131"/>
      <c r="D2" s="132"/>
      <c r="E2" s="132"/>
      <c r="F2" s="132"/>
      <c r="G2" s="132"/>
      <c r="H2" s="132"/>
      <c r="I2" s="133"/>
      <c r="J2" s="84"/>
    </row>
    <row r="3" spans="1:10" s="92" customFormat="1" ht="38.25" x14ac:dyDescent="0.2">
      <c r="A3" s="86">
        <v>1</v>
      </c>
      <c r="B3" s="87" t="s">
        <v>21</v>
      </c>
      <c r="C3" s="88"/>
      <c r="D3" s="89">
        <f>31983.43*1.08333333333333</f>
        <v>34648.715833333226</v>
      </c>
      <c r="E3" s="89">
        <f>39979.29*1.08333333333333</f>
        <v>43310.897499999868</v>
      </c>
      <c r="F3" s="89">
        <f t="shared" ref="F3:I3" si="0">39979.29*1.08333333333333</f>
        <v>43310.897499999868</v>
      </c>
      <c r="G3" s="89">
        <f t="shared" si="0"/>
        <v>43310.897499999868</v>
      </c>
      <c r="H3" s="89">
        <f t="shared" si="0"/>
        <v>43310.897499999868</v>
      </c>
      <c r="I3" s="90">
        <f t="shared" si="0"/>
        <v>43310.897499999868</v>
      </c>
      <c r="J3" s="91"/>
    </row>
    <row r="4" spans="1:10" s="92" customFormat="1" ht="25.5" x14ac:dyDescent="0.2">
      <c r="A4" s="93">
        <v>2</v>
      </c>
      <c r="B4" s="94" t="s">
        <v>6</v>
      </c>
      <c r="C4" s="95"/>
      <c r="D4" s="1">
        <f>16.35*13</f>
        <v>212.55</v>
      </c>
      <c r="E4" s="1">
        <f>20.16*13</f>
        <v>262.08</v>
      </c>
      <c r="F4" s="1">
        <f t="shared" ref="F4:I4" si="1">20.16*13</f>
        <v>262.08</v>
      </c>
      <c r="G4" s="1">
        <f t="shared" si="1"/>
        <v>262.08</v>
      </c>
      <c r="H4" s="1">
        <f t="shared" si="1"/>
        <v>262.08</v>
      </c>
      <c r="I4" s="2">
        <f t="shared" si="1"/>
        <v>262.08</v>
      </c>
      <c r="J4" s="91"/>
    </row>
    <row r="5" spans="1:10" s="100" customFormat="1" ht="12.75" x14ac:dyDescent="0.2">
      <c r="A5" s="96">
        <v>3</v>
      </c>
      <c r="B5" s="97" t="s">
        <v>7</v>
      </c>
      <c r="C5" s="98"/>
      <c r="D5" s="80">
        <v>7332.22</v>
      </c>
      <c r="E5" s="80">
        <v>7837.59</v>
      </c>
      <c r="F5" s="80">
        <v>15584.45</v>
      </c>
      <c r="G5" s="80">
        <v>21781.93</v>
      </c>
      <c r="H5" s="80">
        <v>33143.980000000003</v>
      </c>
      <c r="I5" s="99">
        <v>39857.919999999998</v>
      </c>
      <c r="J5" s="97"/>
    </row>
    <row r="6" spans="1:10" s="100" customFormat="1" ht="12.75" x14ac:dyDescent="0.2">
      <c r="A6" s="96">
        <v>4</v>
      </c>
      <c r="B6" s="97" t="s">
        <v>8</v>
      </c>
      <c r="C6" s="101" t="s">
        <v>53</v>
      </c>
      <c r="D6" s="80">
        <f>IF($C$6="SI", (D3+D4)*25%,0)</f>
        <v>0</v>
      </c>
      <c r="E6" s="80">
        <f t="shared" ref="E6:I6" si="2">IF($C$6="SI", (E3+E4)*25%,0)</f>
        <v>0</v>
      </c>
      <c r="F6" s="80">
        <f t="shared" si="2"/>
        <v>0</v>
      </c>
      <c r="G6" s="80">
        <f t="shared" si="2"/>
        <v>0</v>
      </c>
      <c r="H6" s="80">
        <f t="shared" si="2"/>
        <v>0</v>
      </c>
      <c r="I6" s="99">
        <f t="shared" si="2"/>
        <v>0</v>
      </c>
      <c r="J6" s="97"/>
    </row>
    <row r="7" spans="1:10" s="100" customFormat="1" ht="12.75" x14ac:dyDescent="0.2">
      <c r="A7" s="96">
        <v>5</v>
      </c>
      <c r="B7" s="97" t="s">
        <v>28</v>
      </c>
      <c r="C7" s="102">
        <v>0.25</v>
      </c>
      <c r="D7" s="80">
        <f>+D6*$C$7</f>
        <v>0</v>
      </c>
      <c r="E7" s="80">
        <f t="shared" ref="E7:I7" si="3">+E6*$C$7</f>
        <v>0</v>
      </c>
      <c r="F7" s="80">
        <f t="shared" si="3"/>
        <v>0</v>
      </c>
      <c r="G7" s="80">
        <f t="shared" si="3"/>
        <v>0</v>
      </c>
      <c r="H7" s="80">
        <f t="shared" si="3"/>
        <v>0</v>
      </c>
      <c r="I7" s="99">
        <f t="shared" si="3"/>
        <v>0</v>
      </c>
      <c r="J7" s="97"/>
    </row>
    <row r="8" spans="1:10" s="100" customFormat="1" ht="12.75" x14ac:dyDescent="0.2">
      <c r="A8" s="96">
        <v>6</v>
      </c>
      <c r="B8" s="97" t="s">
        <v>9</v>
      </c>
      <c r="C8" s="102">
        <v>0.3</v>
      </c>
      <c r="D8" s="80">
        <f t="shared" ref="D8:I8" si="4">IF($C$6="no",$C$8*D19,(D19*1.25*$C$8))</f>
        <v>2788.8659999999995</v>
      </c>
      <c r="E8" s="80">
        <f t="shared" si="4"/>
        <v>3253.6770000000001</v>
      </c>
      <c r="F8" s="80">
        <f t="shared" si="4"/>
        <v>5577.7349999999997</v>
      </c>
      <c r="G8" s="80">
        <f t="shared" si="4"/>
        <v>7436.9789999999994</v>
      </c>
      <c r="H8" s="80">
        <f t="shared" si="4"/>
        <v>10845.594000000001</v>
      </c>
      <c r="I8" s="99">
        <f t="shared" si="4"/>
        <v>12889.776</v>
      </c>
      <c r="J8" s="97"/>
    </row>
    <row r="9" spans="1:10" s="100" customFormat="1" ht="12.75" x14ac:dyDescent="0.2">
      <c r="A9" s="96">
        <v>7</v>
      </c>
      <c r="B9" s="103" t="s">
        <v>10</v>
      </c>
      <c r="C9" s="102">
        <v>0.1</v>
      </c>
      <c r="D9" s="80">
        <f>(D3+D4+D5+D6+D7+D8+D18)*$C$9</f>
        <v>5153.323183333323</v>
      </c>
      <c r="E9" s="80">
        <f t="shared" ref="E9:I9" si="5">(E3+E4+E5+E6+E7+E8+E18)*$C$9</f>
        <v>6138.4475062499869</v>
      </c>
      <c r="F9" s="80">
        <f t="shared" si="5"/>
        <v>7271.4257812499854</v>
      </c>
      <c r="G9" s="80">
        <f t="shared" si="5"/>
        <v>8177.8072312499862</v>
      </c>
      <c r="H9" s="80">
        <f t="shared" si="5"/>
        <v>9839.5070437499871</v>
      </c>
      <c r="I9" s="99">
        <f t="shared" si="5"/>
        <v>10824.420768749987</v>
      </c>
      <c r="J9" s="97"/>
    </row>
    <row r="10" spans="1:10" s="100" customFormat="1" ht="28.5" customHeight="1" x14ac:dyDescent="0.2">
      <c r="A10" s="96">
        <v>8</v>
      </c>
      <c r="B10" s="97" t="s">
        <v>11</v>
      </c>
      <c r="C10" s="104"/>
      <c r="D10" s="80">
        <f t="shared" ref="D10:I10" si="6">MAX($C$10-D19-D7-D8,0)</f>
        <v>0</v>
      </c>
      <c r="E10" s="80">
        <f t="shared" si="6"/>
        <v>0</v>
      </c>
      <c r="F10" s="80">
        <f t="shared" si="6"/>
        <v>0</v>
      </c>
      <c r="G10" s="80">
        <f t="shared" si="6"/>
        <v>0</v>
      </c>
      <c r="H10" s="80">
        <f t="shared" si="6"/>
        <v>0</v>
      </c>
      <c r="I10" s="99">
        <f t="shared" si="6"/>
        <v>0</v>
      </c>
      <c r="J10" s="97"/>
    </row>
    <row r="11" spans="1:10" s="100" customFormat="1" ht="28.5" customHeight="1" thickBot="1" x14ac:dyDescent="0.25">
      <c r="A11" s="105">
        <v>9</v>
      </c>
      <c r="B11" s="106" t="s">
        <v>12</v>
      </c>
      <c r="C11" s="107"/>
      <c r="D11" s="108">
        <v>0</v>
      </c>
      <c r="E11" s="108"/>
      <c r="F11" s="108"/>
      <c r="G11" s="108">
        <f>IF($C$9&gt;0,IF($C$9-G8-G7&gt;0,+$C$9-G8-G7,0),0)</f>
        <v>0</v>
      </c>
      <c r="H11" s="108">
        <f>IF($C$9&gt;0,IF($C$9-H8-H7&gt;0,+$C$9-H8-H7,0),0)</f>
        <v>0</v>
      </c>
      <c r="I11" s="109">
        <f>IF($C$9&gt;0,IF($C$9-I8-I7&gt;0,+$C$9-I8-I7,0),0)</f>
        <v>0</v>
      </c>
      <c r="J11" s="97"/>
    </row>
    <row r="12" spans="1:10" s="138" customFormat="1" ht="21.75" thickBot="1" x14ac:dyDescent="0.4">
      <c r="A12" s="134"/>
      <c r="B12" s="156" t="s">
        <v>13</v>
      </c>
      <c r="C12" s="157"/>
      <c r="D12" s="135">
        <f>SUM(D3:D11)</f>
        <v>50135.675016666559</v>
      </c>
      <c r="E12" s="135">
        <f t="shared" ref="E12:I12" si="7">SUM(E3:E11)</f>
        <v>60802.692006249861</v>
      </c>
      <c r="F12" s="135">
        <f t="shared" si="7"/>
        <v>72006.58828124986</v>
      </c>
      <c r="G12" s="135">
        <f t="shared" si="7"/>
        <v>80969.693731249863</v>
      </c>
      <c r="H12" s="135">
        <f t="shared" si="7"/>
        <v>97402.058543749852</v>
      </c>
      <c r="I12" s="136">
        <f t="shared" si="7"/>
        <v>107145.09426874986</v>
      </c>
      <c r="J12" s="137"/>
    </row>
    <row r="13" spans="1:10" ht="19.5" thickBot="1" x14ac:dyDescent="0.3">
      <c r="A13" s="139"/>
      <c r="B13" s="158" t="s">
        <v>14</v>
      </c>
      <c r="C13" s="159"/>
      <c r="D13" s="159"/>
      <c r="E13" s="159"/>
      <c r="F13" s="159"/>
      <c r="G13" s="159"/>
      <c r="H13" s="159"/>
      <c r="I13" s="160"/>
    </row>
    <row r="14" spans="1:10" s="100" customFormat="1" ht="25.5" x14ac:dyDescent="0.2">
      <c r="A14" s="86">
        <v>10</v>
      </c>
      <c r="B14" s="110" t="s">
        <v>15</v>
      </c>
      <c r="C14" s="111">
        <v>0.15</v>
      </c>
      <c r="D14" s="89">
        <f>+((D3+D4+D5))/13*12*$C$14</f>
        <v>5842.174961538447</v>
      </c>
      <c r="E14" s="89">
        <f t="shared" ref="E14:I14" si="8">+(E3+E4+E5)*12/13*$C$14</f>
        <v>7118.3862692307512</v>
      </c>
      <c r="F14" s="89">
        <f t="shared" si="8"/>
        <v>8191.0284230769048</v>
      </c>
      <c r="G14" s="89">
        <f t="shared" si="8"/>
        <v>9049.141038461521</v>
      </c>
      <c r="H14" s="89">
        <f t="shared" si="8"/>
        <v>10622.347961538444</v>
      </c>
      <c r="I14" s="89">
        <f t="shared" si="8"/>
        <v>11551.970423076904</v>
      </c>
      <c r="J14" s="97"/>
    </row>
    <row r="15" spans="1:10" s="100" customFormat="1" ht="26.25" thickBot="1" x14ac:dyDescent="0.25">
      <c r="A15" s="112">
        <v>11</v>
      </c>
      <c r="B15" s="113" t="s">
        <v>16</v>
      </c>
      <c r="C15" s="114">
        <v>0.25</v>
      </c>
      <c r="D15" s="115">
        <f>+((D3+D4+D5))/13*12*$C$15</f>
        <v>9736.9582692307449</v>
      </c>
      <c r="E15" s="115">
        <f t="shared" ref="E15:I15" si="9">+((E3+E4+E5))/13*12*$C$15</f>
        <v>11863.977115384587</v>
      </c>
      <c r="F15" s="115">
        <f t="shared" si="9"/>
        <v>13651.714038461509</v>
      </c>
      <c r="G15" s="115">
        <f t="shared" si="9"/>
        <v>15081.901730769201</v>
      </c>
      <c r="H15" s="115">
        <f t="shared" si="9"/>
        <v>17703.913269230739</v>
      </c>
      <c r="I15" s="115">
        <f t="shared" si="9"/>
        <v>19253.284038461512</v>
      </c>
      <c r="J15" s="97"/>
    </row>
    <row r="16" spans="1:10" s="143" customFormat="1" ht="19.5" thickBot="1" x14ac:dyDescent="0.3">
      <c r="A16" s="139"/>
      <c r="B16" s="161" t="s">
        <v>52</v>
      </c>
      <c r="C16" s="162"/>
      <c r="D16" s="162"/>
      <c r="E16" s="162"/>
      <c r="F16" s="162"/>
      <c r="G16" s="162"/>
      <c r="H16" s="162"/>
      <c r="I16" s="163"/>
      <c r="J16" s="142"/>
    </row>
    <row r="17" spans="1:10" s="119" customFormat="1" ht="43.5" customHeight="1" thickBot="1" x14ac:dyDescent="0.3">
      <c r="A17" s="116">
        <v>12</v>
      </c>
      <c r="B17" s="117" t="s">
        <v>18</v>
      </c>
      <c r="C17" s="88"/>
      <c r="D17" s="89">
        <f>+((D3*12/13)+D4+D5+D6+D7+D9+D18)/5</f>
        <v>10246.480636666643</v>
      </c>
      <c r="E17" s="89">
        <f t="shared" ref="E17:I17" si="10">+((E3*12/13)+E4+E5+E6+E7+E9+E18)/5</f>
        <v>12187.52761374997</v>
      </c>
      <c r="F17" s="89">
        <f t="shared" si="10"/>
        <v>14215.268218749969</v>
      </c>
      <c r="G17" s="89">
        <f t="shared" si="10"/>
        <v>15837.458608749968</v>
      </c>
      <c r="H17" s="89">
        <f t="shared" si="10"/>
        <v>18811.475196249972</v>
      </c>
      <c r="I17" s="90">
        <f t="shared" si="10"/>
        <v>20569.44899124997</v>
      </c>
      <c r="J17" s="118"/>
    </row>
    <row r="18" spans="1:10" s="119" customFormat="1" ht="26.25" thickBot="1" x14ac:dyDescent="0.3">
      <c r="A18" s="116">
        <v>13</v>
      </c>
      <c r="B18" s="120" t="s">
        <v>19</v>
      </c>
      <c r="C18" s="121"/>
      <c r="D18" s="122">
        <v>6550.88</v>
      </c>
      <c r="E18" s="122">
        <v>6720.2305624999854</v>
      </c>
      <c r="F18" s="122">
        <v>7979.0953124999842</v>
      </c>
      <c r="G18" s="122">
        <v>8986.1858124999835</v>
      </c>
      <c r="H18" s="122">
        <v>10832.518937499986</v>
      </c>
      <c r="I18" s="123">
        <v>11923.534187499985</v>
      </c>
      <c r="J18" s="118"/>
    </row>
    <row r="19" spans="1:10" x14ac:dyDescent="0.25">
      <c r="A19" s="144">
        <v>14</v>
      </c>
      <c r="B19" s="141" t="s">
        <v>29</v>
      </c>
      <c r="C19" s="145"/>
      <c r="D19" s="146">
        <v>9296.2199999999993</v>
      </c>
      <c r="E19" s="146">
        <v>10845.59</v>
      </c>
      <c r="F19" s="146">
        <v>18592.45</v>
      </c>
      <c r="G19" s="146">
        <v>24789.93</v>
      </c>
      <c r="H19" s="146">
        <v>36151.980000000003</v>
      </c>
      <c r="I19" s="146">
        <v>42965.919999999998</v>
      </c>
    </row>
    <row r="20" spans="1:10" x14ac:dyDescent="0.25">
      <c r="C20" s="145"/>
    </row>
    <row r="21" spans="1:10" x14ac:dyDescent="0.25">
      <c r="C21" s="145"/>
    </row>
    <row r="22" spans="1:10" x14ac:dyDescent="0.25">
      <c r="C22" s="145"/>
      <c r="D22" s="124"/>
    </row>
    <row r="23" spans="1:10" x14ac:dyDescent="0.25">
      <c r="C23" s="145"/>
    </row>
    <row r="24" spans="1:10" x14ac:dyDescent="0.25">
      <c r="C24" s="145"/>
    </row>
    <row r="25" spans="1:10" x14ac:dyDescent="0.25">
      <c r="C25" s="145"/>
    </row>
  </sheetData>
  <mergeCells count="3">
    <mergeCell ref="B12:C12"/>
    <mergeCell ref="B13:I13"/>
    <mergeCell ref="B16:I16"/>
  </mergeCells>
  <dataValidations count="6">
    <dataValidation type="list" allowBlank="1" sqref="C15">
      <formula1>"25%"</formula1>
    </dataValidation>
    <dataValidation type="list" allowBlank="1" sqref="C14">
      <formula1>"15%"</formula1>
    </dataValidation>
    <dataValidation type="list" allowBlank="1" sqref="C9">
      <formula1>"0%,1%,2%,3%,4%,5%,6%,7%,8%,9%,10%"</formula1>
    </dataValidation>
    <dataValidation type="list" allowBlank="1" sqref="C8">
      <formula1>"30%, 50%"</formula1>
    </dataValidation>
    <dataValidation type="list" allowBlank="1" showInputMessage="1" showErrorMessage="1" sqref="C6">
      <formula1>"SI,NO"</formula1>
    </dataValidation>
    <dataValidation allowBlank="1" sqref="C7"/>
  </dataValidations>
  <pageMargins left="0.375" right="0.38541666666666669" top="0.45833333333333331" bottom="0.16666666666666666" header="7.2916666666666671E-2" footer="0.3"/>
  <pageSetup paperSize="9" orientation="landscape" r:id="rId1"/>
  <headerFooter>
    <oddHeader>&amp;C&amp;"-,Grassetto"&amp;14RETRIBUZIONE ANNUA SEGRETARIO COMUNALE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:G2"/>
    </sheetView>
  </sheetViews>
  <sheetFormatPr defaultRowHeight="15" x14ac:dyDescent="0.25"/>
  <cols>
    <col min="1" max="1" width="16.140625" customWidth="1"/>
    <col min="2" max="2" width="12.7109375" customWidth="1"/>
    <col min="3" max="3" width="14.42578125" customWidth="1"/>
    <col min="4" max="4" width="13.28515625" customWidth="1"/>
    <col min="5" max="5" width="14" customWidth="1"/>
    <col min="6" max="6" width="13.7109375" customWidth="1"/>
    <col min="7" max="8" width="15" customWidth="1"/>
    <col min="10" max="10" width="18.7109375" customWidth="1"/>
    <col min="11" max="11" width="22" customWidth="1"/>
    <col min="12" max="12" width="20" customWidth="1"/>
  </cols>
  <sheetData>
    <row r="1" spans="1:13" ht="77.25" customHeight="1" thickBot="1" x14ac:dyDescent="0.3">
      <c r="A1" s="72" t="s">
        <v>51</v>
      </c>
      <c r="B1" s="28" t="s">
        <v>55</v>
      </c>
      <c r="C1" s="28" t="s">
        <v>54</v>
      </c>
      <c r="D1" s="28" t="s">
        <v>40</v>
      </c>
      <c r="E1" s="28" t="s">
        <v>41</v>
      </c>
      <c r="F1" s="43" t="s">
        <v>42</v>
      </c>
      <c r="G1" s="28" t="s">
        <v>44</v>
      </c>
      <c r="H1" s="73">
        <v>2021</v>
      </c>
      <c r="I1" s="74"/>
      <c r="J1" s="75" t="s">
        <v>39</v>
      </c>
      <c r="K1" s="75" t="s">
        <v>37</v>
      </c>
      <c r="L1" s="75" t="s">
        <v>38</v>
      </c>
      <c r="M1" s="74"/>
    </row>
    <row r="2" spans="1:13" ht="15.75" x14ac:dyDescent="0.25">
      <c r="A2" s="76" t="s">
        <v>35</v>
      </c>
      <c r="B2" s="164" t="s">
        <v>49</v>
      </c>
      <c r="C2" s="165"/>
      <c r="D2" s="165"/>
      <c r="E2" s="165"/>
      <c r="F2" s="165"/>
      <c r="G2" s="165"/>
      <c r="H2" s="77"/>
      <c r="I2" s="74"/>
      <c r="J2" s="78"/>
      <c r="K2" s="78"/>
      <c r="L2" s="78"/>
      <c r="M2" s="74"/>
    </row>
    <row r="3" spans="1:13" x14ac:dyDescent="0.25">
      <c r="A3" s="79" t="s">
        <v>32</v>
      </c>
      <c r="B3" s="80">
        <f>J3*13</f>
        <v>212.55</v>
      </c>
      <c r="C3" s="80">
        <f>J3*13</f>
        <v>212.55</v>
      </c>
      <c r="D3" s="80">
        <f>J3*13</f>
        <v>212.55</v>
      </c>
      <c r="E3" s="3">
        <f>J3*13+K3*3+L3*7</f>
        <v>376.74</v>
      </c>
      <c r="F3" s="3">
        <f>J3*13+L3*13</f>
        <v>455.13</v>
      </c>
      <c r="G3" s="3">
        <f>J3*13+L3*13</f>
        <v>455.13</v>
      </c>
      <c r="H3" s="4"/>
      <c r="I3" s="74"/>
      <c r="J3" s="78">
        <v>16.350000000000001</v>
      </c>
      <c r="K3" s="78">
        <v>11.19</v>
      </c>
      <c r="L3" s="78">
        <v>18.66</v>
      </c>
      <c r="M3" s="74"/>
    </row>
    <row r="4" spans="1:13" x14ac:dyDescent="0.25">
      <c r="A4" s="79" t="s">
        <v>33</v>
      </c>
      <c r="B4" s="80">
        <f t="shared" ref="B4:B5" si="0">J4*13</f>
        <v>262.08</v>
      </c>
      <c r="C4" s="80">
        <f t="shared" ref="C4:C5" si="1">J4*13</f>
        <v>262.08</v>
      </c>
      <c r="D4" s="80">
        <f t="shared" ref="D4:D5" si="2">J4*13</f>
        <v>262.08</v>
      </c>
      <c r="E4" s="3">
        <f t="shared" ref="E4:E5" si="3">J4*13+K4*3+L4*7</f>
        <v>467.28999999999996</v>
      </c>
      <c r="F4" s="3">
        <f t="shared" ref="F4:F5" si="4">J4*13+L4*13</f>
        <v>565.24</v>
      </c>
      <c r="G4" s="3">
        <f t="shared" ref="G4:G5" si="5">J4*13+L4*13</f>
        <v>565.24</v>
      </c>
      <c r="H4" s="4"/>
      <c r="I4" s="74"/>
      <c r="J4" s="78">
        <v>20.16</v>
      </c>
      <c r="K4" s="78">
        <v>13.99</v>
      </c>
      <c r="L4" s="78">
        <v>23.32</v>
      </c>
      <c r="M4" s="74"/>
    </row>
    <row r="5" spans="1:13" x14ac:dyDescent="0.25">
      <c r="A5" s="79" t="s">
        <v>34</v>
      </c>
      <c r="B5" s="80">
        <f t="shared" si="0"/>
        <v>262.08</v>
      </c>
      <c r="C5" s="80">
        <f t="shared" si="1"/>
        <v>262.08</v>
      </c>
      <c r="D5" s="80">
        <f t="shared" si="2"/>
        <v>262.08</v>
      </c>
      <c r="E5" s="3">
        <f t="shared" si="3"/>
        <v>467.28999999999996</v>
      </c>
      <c r="F5" s="3">
        <f t="shared" si="4"/>
        <v>565.24</v>
      </c>
      <c r="G5" s="3">
        <f t="shared" si="5"/>
        <v>565.24</v>
      </c>
      <c r="H5" s="4"/>
      <c r="I5" s="74"/>
      <c r="J5" s="78">
        <v>20.16</v>
      </c>
      <c r="K5" s="78">
        <v>13.99</v>
      </c>
      <c r="L5" s="78">
        <v>23.32</v>
      </c>
      <c r="M5" s="74"/>
    </row>
    <row r="6" spans="1:13" ht="15.75" thickBot="1" x14ac:dyDescent="0.3">
      <c r="A6" s="79"/>
      <c r="B6" s="74"/>
      <c r="C6" s="74"/>
      <c r="D6" s="74"/>
      <c r="E6" s="74"/>
      <c r="F6" s="74"/>
      <c r="G6" s="74"/>
      <c r="H6" s="74"/>
      <c r="I6" s="74"/>
      <c r="J6" s="78"/>
      <c r="K6" s="78"/>
      <c r="L6" s="78"/>
      <c r="M6" s="74"/>
    </row>
    <row r="7" spans="1:13" ht="15.75" x14ac:dyDescent="0.25">
      <c r="A7" s="79"/>
      <c r="B7" s="164" t="s">
        <v>50</v>
      </c>
      <c r="C7" s="165"/>
      <c r="D7" s="165"/>
      <c r="E7" s="165"/>
      <c r="F7" s="165"/>
      <c r="G7" s="166"/>
      <c r="H7" s="81"/>
      <c r="I7" s="74"/>
      <c r="J7" s="78"/>
      <c r="K7" s="78"/>
      <c r="L7" s="78"/>
      <c r="M7" s="74"/>
    </row>
    <row r="8" spans="1:13" x14ac:dyDescent="0.25">
      <c r="A8" s="79" t="s">
        <v>32</v>
      </c>
      <c r="B8" s="80">
        <f>+J8*13</f>
        <v>259.87</v>
      </c>
      <c r="C8" s="80">
        <f>+J8*13</f>
        <v>259.87</v>
      </c>
      <c r="D8" s="80">
        <f>+J8*13</f>
        <v>259.87</v>
      </c>
      <c r="E8" s="3">
        <f>J8*13+K8*3+L8*7</f>
        <v>424.06</v>
      </c>
      <c r="F8" s="3">
        <f>+J8*13+L8*13</f>
        <v>502.45000000000005</v>
      </c>
      <c r="G8" s="3">
        <f>+J8*13+L8*13</f>
        <v>502.45000000000005</v>
      </c>
      <c r="H8" s="3">
        <f>+L8*13</f>
        <v>242.58</v>
      </c>
      <c r="I8" s="74"/>
      <c r="J8" s="78">
        <f>239.88/12</f>
        <v>19.989999999999998</v>
      </c>
      <c r="K8" s="78">
        <v>11.19</v>
      </c>
      <c r="L8" s="78">
        <v>18.66</v>
      </c>
      <c r="M8" s="74"/>
    </row>
    <row r="9" spans="1:13" x14ac:dyDescent="0.25">
      <c r="A9" s="79" t="s">
        <v>33</v>
      </c>
      <c r="B9" s="80">
        <f>+J9*13</f>
        <v>324.87</v>
      </c>
      <c r="C9" s="80">
        <f t="shared" ref="C9:C10" si="6">+J9*13</f>
        <v>324.87</v>
      </c>
      <c r="D9" s="80">
        <f t="shared" ref="D9:D10" si="7">+J9*13</f>
        <v>324.87</v>
      </c>
      <c r="E9" s="3">
        <f t="shared" ref="E9:E10" si="8">J9*13+K9*3+L9*7</f>
        <v>530.08000000000004</v>
      </c>
      <c r="F9" s="3">
        <f t="shared" ref="F9:F10" si="9">+J9*13+L9*13</f>
        <v>628.03</v>
      </c>
      <c r="G9" s="3">
        <f t="shared" ref="G9:G10" si="10">+J9*13+L9*13</f>
        <v>628.03</v>
      </c>
      <c r="H9" s="3">
        <f t="shared" ref="H9:H10" si="11">+L9*13</f>
        <v>303.16000000000003</v>
      </c>
      <c r="I9" s="74"/>
      <c r="J9" s="78">
        <f>299.88/12</f>
        <v>24.99</v>
      </c>
      <c r="K9" s="78">
        <v>13.99</v>
      </c>
      <c r="L9" s="78">
        <v>23.32</v>
      </c>
      <c r="M9" s="74"/>
    </row>
    <row r="10" spans="1:13" x14ac:dyDescent="0.25">
      <c r="A10" s="79" t="s">
        <v>34</v>
      </c>
      <c r="B10" s="80">
        <f>+J10*13</f>
        <v>324.87</v>
      </c>
      <c r="C10" s="80">
        <f t="shared" si="6"/>
        <v>324.87</v>
      </c>
      <c r="D10" s="80">
        <f t="shared" si="7"/>
        <v>324.87</v>
      </c>
      <c r="E10" s="3">
        <f t="shared" si="8"/>
        <v>530.08000000000004</v>
      </c>
      <c r="F10" s="3">
        <f t="shared" si="9"/>
        <v>628.03</v>
      </c>
      <c r="G10" s="3">
        <f t="shared" si="10"/>
        <v>628.03</v>
      </c>
      <c r="H10" s="3">
        <f t="shared" si="11"/>
        <v>303.16000000000003</v>
      </c>
      <c r="I10" s="74"/>
      <c r="J10" s="78">
        <f>299.88/12</f>
        <v>24.99</v>
      </c>
      <c r="K10" s="78">
        <v>13.99</v>
      </c>
      <c r="L10" s="78">
        <v>23.32</v>
      </c>
      <c r="M10" s="74"/>
    </row>
  </sheetData>
  <mergeCells count="2">
    <mergeCell ref="B2:G2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Segretari fascia B</vt:lpstr>
      <vt:lpstr>ccnl</vt:lpstr>
      <vt:lpstr>IVC</vt:lpstr>
      <vt:lpstr>'Segretari fascia B'!Area_stampa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Utente</cp:lastModifiedBy>
  <cp:lastPrinted>2021-05-20T15:19:01Z</cp:lastPrinted>
  <dcterms:created xsi:type="dcterms:W3CDTF">2019-03-19T09:03:38Z</dcterms:created>
  <dcterms:modified xsi:type="dcterms:W3CDTF">2021-05-24T08:01:13Z</dcterms:modified>
</cp:coreProperties>
</file>